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B38" i="10"/>
  <c r="AA38" i="10"/>
  <c r="AA16" i="10"/>
  <c r="AB16" i="10" s="1"/>
  <c r="AA13" i="10"/>
  <c r="Z17" i="10"/>
  <c r="Z46" i="10" s="1"/>
  <c r="Z13" i="10"/>
  <c r="Y46" i="10"/>
  <c r="Y17" i="10"/>
  <c r="Y13" i="10"/>
  <c r="X41" i="10"/>
  <c r="X16" i="10"/>
  <c r="W16" i="10"/>
  <c r="T41" i="10"/>
  <c r="S16" i="10"/>
  <c r="T16" i="10" s="1"/>
  <c r="P41" i="10"/>
  <c r="O38" i="10"/>
  <c r="O16" i="10"/>
  <c r="P16" i="10" s="1"/>
  <c r="N17" i="10"/>
  <c r="N45" i="10" s="1"/>
  <c r="N12" i="10"/>
  <c r="M45" i="10"/>
  <c r="M17" i="10"/>
  <c r="M12" i="10"/>
  <c r="L60" i="10"/>
  <c r="L59" i="10"/>
  <c r="L58" i="10" s="1"/>
  <c r="L36" i="10"/>
  <c r="L35" i="10"/>
  <c r="L16" i="10"/>
  <c r="L10" i="10"/>
  <c r="K41" i="10"/>
  <c r="K10" i="10"/>
  <c r="J16" i="10"/>
  <c r="K16" i="10" s="1"/>
  <c r="J11" i="10"/>
  <c r="K11" i="10" s="1"/>
  <c r="J10" i="10"/>
  <c r="G60" i="10"/>
  <c r="G59" i="10"/>
  <c r="G58" i="10" s="1"/>
  <c r="G36" i="10"/>
  <c r="G35" i="10"/>
  <c r="G16" i="10"/>
  <c r="G10" i="10"/>
  <c r="G9" i="10"/>
  <c r="G8" i="10"/>
  <c r="F41" i="10"/>
  <c r="F16" i="10"/>
  <c r="F10" i="10"/>
  <c r="E16" i="10"/>
  <c r="E11" i="10"/>
  <c r="F11" i="10" s="1"/>
  <c r="E10" i="10"/>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12" i="4"/>
  <c r="AU5" i="4"/>
  <c r="AT60" i="4"/>
  <c r="AT22" i="4"/>
  <c r="AT5" i="4"/>
  <c r="AS60" i="4"/>
  <c r="AS22" i="4"/>
  <c r="AS12" i="4"/>
  <c r="AS5" i="4"/>
  <c r="AC60" i="4"/>
  <c r="AC22" i="4"/>
  <c r="AC5" i="4"/>
  <c r="AB60" i="4"/>
  <c r="AB22" i="4"/>
  <c r="AB12" i="4"/>
  <c r="AA6" i="10" s="1"/>
  <c r="AB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H60" i="4"/>
  <c r="H22" i="4"/>
  <c r="H12" i="4"/>
  <c r="H5" i="4"/>
  <c r="G60" i="4"/>
  <c r="G22" i="4"/>
  <c r="G5" i="4"/>
  <c r="F60" i="4"/>
  <c r="F22" i="4"/>
  <c r="F12" i="4"/>
  <c r="F5" i="4"/>
  <c r="E60" i="4"/>
  <c r="E22" i="4"/>
  <c r="E5" i="4"/>
  <c r="E7" i="10" s="1"/>
  <c r="F7" i="10" s="1"/>
  <c r="D60" i="4"/>
  <c r="D22" i="4"/>
  <c r="D12" i="4"/>
  <c r="D5" i="4"/>
  <c r="L20" i="10" l="1"/>
  <c r="O6" i="10"/>
  <c r="W13" i="10"/>
  <c r="X6" i="10"/>
  <c r="W38" i="10" s="1"/>
  <c r="F6" i="10"/>
  <c r="K6" i="10"/>
  <c r="I12" i="10" s="1"/>
  <c r="O45" i="10"/>
  <c r="G15" i="10"/>
  <c r="K15" i="10"/>
  <c r="P15" i="10"/>
  <c r="P17" i="10" s="1"/>
  <c r="O17" i="10"/>
  <c r="X15" i="10"/>
  <c r="X17" i="10" s="1"/>
  <c r="L15" i="10"/>
  <c r="AB42" i="10"/>
  <c r="T6" i="10"/>
  <c r="AB13" i="10"/>
  <c r="AB52" i="10"/>
  <c r="E15" i="10"/>
  <c r="J7" i="10"/>
  <c r="K7" i="10" s="1"/>
  <c r="O7" i="10"/>
  <c r="P7" i="10" s="1"/>
  <c r="S15" i="10"/>
  <c r="W7" i="10"/>
  <c r="X7" i="10" s="1"/>
  <c r="AA15" i="10"/>
  <c r="P38" i="10"/>
  <c r="G7" i="10"/>
  <c r="G20" i="10" s="1"/>
  <c r="X38" i="10" l="1"/>
  <c r="P53" i="10"/>
  <c r="E11" i="16" s="1"/>
  <c r="P39" i="10"/>
  <c r="P52" i="10"/>
  <c r="P45" i="10"/>
  <c r="P42" i="10"/>
  <c r="T15" i="10"/>
  <c r="L32" i="10"/>
  <c r="L27" i="10"/>
  <c r="L23" i="10"/>
  <c r="L24" i="10"/>
  <c r="L22" i="10"/>
  <c r="J12" i="10"/>
  <c r="H17" i="10"/>
  <c r="S38" i="10"/>
  <c r="U13" i="10"/>
  <c r="U17" i="10"/>
  <c r="W17" i="10"/>
  <c r="W46" i="10" s="1"/>
  <c r="J17" i="10"/>
  <c r="G19" i="10"/>
  <c r="H12" i="10"/>
  <c r="E12" i="10"/>
  <c r="V17" i="10"/>
  <c r="V46" i="10" s="1"/>
  <c r="O12" i="10"/>
  <c r="P12" i="10" s="1"/>
  <c r="P6" i="10"/>
  <c r="AA17" i="10"/>
  <c r="AA46" i="10" s="1"/>
  <c r="AB39" i="10" s="1"/>
  <c r="AB15" i="10"/>
  <c r="AB17" i="10" s="1"/>
  <c r="K17" i="10"/>
  <c r="J38" i="10"/>
  <c r="E17" i="10"/>
  <c r="F15" i="10"/>
  <c r="F17" i="10" s="1"/>
  <c r="Q17" i="10"/>
  <c r="L19" i="10"/>
  <c r="G27" i="10"/>
  <c r="G23" i="10"/>
  <c r="G32" i="10"/>
  <c r="G24" i="10"/>
  <c r="G22" i="10"/>
  <c r="I17" i="10"/>
  <c r="I45" i="10" s="1"/>
  <c r="C12" i="10"/>
  <c r="V13" i="10"/>
  <c r="X13" i="10" l="1"/>
  <c r="U46" i="10"/>
  <c r="X39" i="10" s="1"/>
  <c r="J45" i="10"/>
  <c r="K38" i="10"/>
  <c r="T38" i="10"/>
  <c r="L21" i="10"/>
  <c r="L26" i="10" s="1"/>
  <c r="L25" i="10" s="1"/>
  <c r="L28" i="10" s="1"/>
  <c r="L30" i="10"/>
  <c r="L31" i="10" s="1"/>
  <c r="L29" i="10" s="1"/>
  <c r="L33" i="10" s="1"/>
  <c r="L34" i="10" s="1"/>
  <c r="T17" i="10"/>
  <c r="R17" i="10"/>
  <c r="R46" i="10" s="1"/>
  <c r="Q13" i="10"/>
  <c r="R13" i="10"/>
  <c r="D17" i="10"/>
  <c r="D45" i="10" s="1"/>
  <c r="S17" i="10"/>
  <c r="S46" i="10" s="1"/>
  <c r="G21" i="10"/>
  <c r="G26" i="10" s="1"/>
  <c r="G25" i="10" s="1"/>
  <c r="G28" i="10" s="1"/>
  <c r="G30" i="10"/>
  <c r="G31" i="10" s="1"/>
  <c r="G29" i="10" s="1"/>
  <c r="G33" i="10" s="1"/>
  <c r="G34" i="10" s="1"/>
  <c r="Q46" i="10"/>
  <c r="AB53" i="10"/>
  <c r="H11" i="16" s="1"/>
  <c r="AB46" i="10"/>
  <c r="K12" i="10"/>
  <c r="H45" i="10"/>
  <c r="X53" i="10"/>
  <c r="G11" i="16" s="1"/>
  <c r="X52" i="10"/>
  <c r="X46" i="10"/>
  <c r="X42" i="10"/>
  <c r="C17" i="10"/>
  <c r="E38" i="10"/>
  <c r="S13" i="10"/>
  <c r="P47" i="10"/>
  <c r="P48" i="10"/>
  <c r="P51" i="10" s="1"/>
  <c r="D12" i="10"/>
  <c r="F12" i="10" l="1"/>
  <c r="C45" i="10"/>
  <c r="AB48" i="10"/>
  <c r="AB51" i="10" s="1"/>
  <c r="AB47" i="10"/>
  <c r="K53" i="10"/>
  <c r="D11" i="16" s="1"/>
  <c r="K39" i="10"/>
  <c r="K42" i="10"/>
  <c r="K45" i="10"/>
  <c r="K52" i="10"/>
  <c r="X47" i="10"/>
  <c r="X48" i="10"/>
  <c r="X51" i="10" s="1"/>
  <c r="T13" i="10"/>
  <c r="T42" i="10"/>
  <c r="T53" i="10"/>
  <c r="F11" i="16" s="1"/>
  <c r="T39" i="10"/>
  <c r="T52" i="10"/>
  <c r="T46" i="10"/>
  <c r="E45" i="10"/>
  <c r="F38" i="10"/>
  <c r="T48" i="10" l="1"/>
  <c r="T51" i="10" s="1"/>
  <c r="T47" i="10"/>
  <c r="K47" i="10"/>
  <c r="K48" i="10"/>
  <c r="K51" i="10" s="1"/>
  <c r="F42" i="10"/>
  <c r="F53" i="10"/>
  <c r="C11" i="16" s="1"/>
  <c r="F39" i="10"/>
  <c r="F45" i="10"/>
  <c r="F52" i="10"/>
  <c r="F47" i="10" l="1"/>
  <c r="F48" i="10"/>
  <c r="F51"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<sst xmlns="http://schemas.openxmlformats.org/spreadsheetml/2006/main" count="570" uniqueCount="508">
  <si>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</si>
  <si>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</si>
  <si>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</si>
  <si>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</si>
  <si>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</si>
  <si>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</si>
  <si>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</si>
  <si>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</si>
  <si>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</si>
  <si>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</si>
  <si>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</si>
  <si>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</si>
  <si>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</si>
  <si>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</si>
  <si>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</si>
  <si>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</si>
  <si>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</si>
  <si>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</si>
  <si>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</si>
  <si>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</si>
  <si>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</si>
  <si>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</si>
  <si>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</si>
  <si>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</si>
  <si>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</si>
  <si>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</si>
  <si>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</si>
  <si>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</si>
  <si>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</si>
  <si>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</si>
  <si>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</si>
  <si>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</si>
  <si>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</si>
  <si>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</si>
  <si>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</si>
  <si>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</si>
  <si>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</si>
  <si>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</si>
  <si>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</si>
  <si>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</si>
  <si>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</si>
  <si>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</si>
  <si>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</si>
  <si>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</si>
  <si>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</si>
  <si>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</si>
  <si>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</si>
  <si>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</si>
  <si>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</si>
  <si>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</si>
  <si>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</si>
  <si>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</si>
  <si>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</si>
  <si>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</si>
  <si>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</si>
  <si>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</si>
  <si>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</si>
  <si>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</si>
  <si>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</si>
  <si>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</si>
  <si>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</si>
  <si>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</si>
  <si>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</si>
  <si>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</si>
  <si>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</si>
  <si>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</si>
  <si>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</si>
  <si>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</si>
  <si>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</si>
  <si>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</si>
  <si>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</si>
  <si>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</si>
  <si>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</si>
  <si>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</si>
  <si>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</si>
  <si>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</si>
  <si>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</si>
  <si>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</si>
  <si>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</si>
  <si>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</si>
  <si>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</si>
  <si>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</si>
  <si>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</si>
  <si>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</si>
  <si>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</si>
  <si>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</si>
  <si>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</si>
  <si>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</si>
  <si>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</si>
  <si>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</si>
  <si>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</si>
  <si>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</si>
  <si>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</si>
  <si>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</si>
  <si>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</si>
  <si>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</si>
  <si>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</si>
  <si>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</si>
  <si>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</si>
  <si>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</si>
  <si>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</si>
  <si>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</si>
  <si>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</si>
  <si>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</si>
  <si>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</si>
  <si>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</si>
  <si>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</si>
  <si>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</si>
  <si>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</si>
  <si>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</si>
  <si>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</si>
  <si>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</si>
  <si>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</si>
  <si>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</si>
  <si>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</si>
  <si>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</si>
  <si>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</si>
  <si>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</si>
  <si>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</si>
  <si>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</si>
  <si>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</si>
  <si>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</si>
  <si>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</si>
  <si>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</si>
  <si>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</si>
  <si>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</si>
  <si>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</si>
  <si>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</si>
  <si>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</si>
  <si>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</si>
  <si>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</si>
  <si>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</si>
  <si>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</si>
  <si>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</si>
  <si>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</si>
  <si>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</si>
  <si>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</si>
  <si>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</si>
  <si>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</si>
  <si>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</si>
  <si>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</si>
  <si>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</si>
  <si>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</si>
  <si>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</si>
  <si>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</si>
  <si>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</si>
  <si>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</si>
  <si>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</si>
  <si>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</si>
  <si>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</si>
  <si>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</si>
  <si>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</si>
  <si>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</si>
  <si>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</si>
  <si>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</si>
  <si>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</si>
  <si>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</si>
  <si>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</si>
  <si>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</si>
  <si>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</si>
  <si>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</si>
  <si>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</si>
  <si>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</si>
  <si>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</si>
  <si>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</si>
  <si>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</si>
  <si>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</si>
  <si>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</si>
  <si>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</si>
  <si>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</si>
  <si>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</si>
  <si>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</si>
  <si>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</si>
  <si>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</si>
  <si>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</si>
  <si>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</si>
  <si>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</si>
  <si>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</si>
  <si>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</si>
  <si>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</si>
  <si>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</si>
  <si>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</si>
  <si>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</si>
  <si>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</si>
  <si>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</si>
  <si>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</si>
  <si>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</si>
  <si>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</si>
  <si>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</si>
  <si>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</si>
  <si>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</si>
  <si>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</si>
  <si>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</si>
  <si>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</si>
  <si>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</si>
  <si>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</si>
  <si>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</si>
  <si>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</si>
  <si>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</si>
  <si>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</si>
  <si>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</si>
  <si>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</si>
  <si>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</si>
  <si>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</si>
  <si>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</si>
  <si>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</si>
  <si>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</si>
  <si>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</si>
  <si>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</si>
  <si>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</si>
  <si>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</si>
  <si>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</si>
  <si>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</si>
  <si>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</si>
  <si>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</si>
  <si>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</si>
  <si>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</si>
  <si>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</si>
  <si>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</si>
  <si>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</si>
  <si>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</si>
  <si>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</si>
  <si>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</si>
  <si>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</si>
  <si>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</si>
  <si>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</si>
  <si>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</si>
  <si>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</si>
  <si>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</si>
  <si>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</si>
  <si>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</si>
  <si>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</si>
  <si>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</si>
  <si>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</si>
  <si>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</si>
  <si>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</si>
  <si>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</si>
  <si>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</si>
  <si>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</si>
  <si>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</si>
  <si>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</si>
  <si>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</si>
  <si>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</si>
  <si>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</si>
  <si>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</si>
  <si>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</si>
  <si>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</si>
  <si>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</si>
  <si>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</si>
  <si>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</si>
  <si>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</si>
  <si>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</si>
  <si>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</si>
  <si>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</si>
  <si>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</si>
  <si>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</si>
  <si>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</si>
  <si>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</si>
  <si>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</si>
  <si>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</si>
  <si>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</si>
  <si>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</si>
  <si>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</si>
  <si>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</si>
  <si>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</si>
  <si>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</si>
  <si>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</si>
  <si>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</si>
  <si>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</si>
  <si>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</si>
  <si>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</si>
  <si>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</si>
  <si>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</si>
  <si>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</si>
  <si>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</si>
  <si>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</si>
  <si>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</si>
  <si>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</si>
  <si>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</si>
  <si>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</si>
  <si>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</si>
  <si>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</si>
  <si>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</si>
  <si>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</si>
  <si>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</si>
  <si>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</si>
  <si>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</si>
  <si>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</si>
  <si>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</si>
  <si>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</si>
  <si>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</si>
  <si>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</si>
  <si>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</si>
  <si>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</si>
  <si>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</si>
  <si>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</si>
  <si>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</si>
  <si>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</si>
  <si>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</si>
  <si>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</si>
  <si>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</si>
  <si>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</si>
  <si>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</si>
  <si>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</si>
  <si>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</si>
  <si>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</si>
  <si>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</si>
  <si>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</si>
  <si>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</si>
  <si>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</si>
  <si>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</si>
  <si>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</si>
  <si>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</si>
  <si>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</si>
  <si>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</si>
  <si>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</si>
  <si>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</si>
  <si>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</si>
  <si>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</si>
  <si>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</si>
  <si>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</si>
  <si>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</si>
  <si>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</si>
  <si>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</si>
  <si>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</si>
  <si>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</si>
  <si>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</si>
  <si>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</si>
  <si>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</si>
  <si>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</si>
  <si>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</si>
  <si>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</si>
  <si>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</si>
  <si>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</si>
  <si>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</si>
  <si>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</si>
  <si>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</si>
  <si>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</si>
  <si>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</si>
  <si>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</si>
  <si>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</si>
  <si>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</si>
  <si>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</si>
  <si>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</si>
  <si>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</si>
  <si>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</si>
  <si>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</si>
  <si>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</si>
  <si>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</si>
  <si>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</si>
  <si>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</si>
  <si>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</si>
  <si>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</si>
  <si>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</si>
  <si>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</si>
  <si>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</si>
  <si>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</si>
  <si>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</si>
  <si>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</si>
  <si>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</si>
  <si>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</si>
  <si>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</si>
  <si>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</si>
  <si>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</si>
  <si>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</si>
  <si>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</si>
  <si>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</si>
  <si>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</si>
  <si>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</si>
  <si>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</si>
  <si>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</si>
  <si>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</si>
  <si>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</si>
  <si>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</si>
  <si>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</si>
  <si>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</si>
  <si>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</si>
  <si>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</si>
  <si>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</si>
  <si>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</si>
  <si>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</si>
  <si>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</si>
  <si>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</si>
  <si>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</si>
  <si>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</si>
  <si>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</si>
  <si>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</si>
  <si>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</si>
  <si>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</si>
  <si>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</si>
  <si>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</si>
  <si>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</si>
  <si>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</si>
  <si>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</si>
  <si>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</si>
  <si>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</si>
  <si>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</si>
  <si>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</si>
  <si>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</si>
  <si>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</si>
  <si>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</si>
  <si>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</si>
  <si>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</si>
  <si>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</si>
  <si>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</si>
  <si>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</si>
  <si>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</si>
  <si>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</si>
  <si>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</si>
  <si>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</si>
  <si>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</si>
  <si>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</si>
  <si>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</si>
  <si>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</si>
  <si>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</si>
  <si>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</si>
  <si>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</si>
  <si>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</si>
  <si>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</si>
  <si>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</si>
  <si>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</si>
  <si>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</si>
  <si>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</si>
  <si>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</si>
  <si>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</si>
  <si>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</si>
  <si>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</si>
  <si>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</si>
  <si>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</si>
  <si>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</si>
  <si>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</si>
  <si>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</si>
  <si>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</si>
  <si>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</si>
  <si>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</si>
  <si>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</si>
  <si>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</si>
  <si>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</si>
  <si>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</si>
  <si>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</si>
  <si>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</si>
  <si>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</si>
  <si>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</si>
  <si>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</si>
  <si>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</si>
  <si>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</si>
  <si>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</si>
  <si>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</si>
  <si>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</si>
  <si>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</si>
  <si>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</si>
  <si>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</si>
  <si>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</si>
  <si>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</si>
  <si>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</si>
  <si>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</si>
  <si>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</si>
  <si>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</si>
  <si>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</si>
  <si>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</si>
  <si>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</si>
  <si>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</si>
  <si>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</si>
  <si>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</si>
  <si>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</si>
  <si>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</si>
  <si>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</si>
  <si>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</si>
  <si>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</si>
  <si>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</si>
  <si>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</si>
  <si>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</si>
  <si>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</si>
  <si>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</si>
  <si>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</si>
  <si>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</si>
  <si>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</si>
  <si>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</si>
  <si>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</si>
  <si>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</si>
  <si>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</si>
  <si>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</si>
  <si>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</si>
  <si>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</si>
  <si>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</si>
  <si>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</si>
  <si>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</si>
  <si>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</si>
  <si>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</si>
  <si>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</si>
  <si>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</si>
  <si>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</si>
  <si>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</si>
  <si>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</si>
  <si>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</si>
  <si>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</si>
  <si>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</si>
  <si>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</si>
  <si>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</si>
  <si>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</si>
  <si>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</si>
  <si>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</si>
  <si>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</si>
  <si>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</si>
  <si>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</si>
  <si>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34871</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</si>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</sst>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173</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2639543</v>
      </c>
      <c r="Q5" s="219">
        <f>SUM('Pt 2 Premium and Claims'!Q$5,'Pt 2 Premium and Claims'!Q$6,-'Pt 2 Premium and Claims'!Q$7,-'Pt 2 Premium and Claims'!Q$13,'Pt 2 Premium and Claims'!Q$14)</f>
        <v>2635872</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15577593</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75</v>
      </c>
      <c r="Q7" s="223">
        <v>75</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440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33377</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2385390</v>
      </c>
      <c r="Q12" s="219">
        <f>'Pt 2 Premium and Claims'!Q$54</f>
        <v>2455190</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12737878</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384720</v>
      </c>
      <c r="Q13" s="223">
        <v>389548</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-76</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92228</v>
      </c>
      <c r="Q14" s="223">
        <v>100095</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3578</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-50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-3</v>
      </c>
      <c r="E25" s="223">
        <v>-3</v>
      </c>
      <c r="F25" s="223"/>
      <c r="G25" s="223"/>
      <c r="H25" s="223"/>
      <c r="I25" s="222">
        <v>0</v>
      </c>
      <c r="J25" s="222">
        <v>-2</v>
      </c>
      <c r="K25" s="223">
        <v>-2</v>
      </c>
      <c r="L25" s="223"/>
      <c r="M25" s="223"/>
      <c r="N25" s="223"/>
      <c r="O25" s="222"/>
      <c r="P25" s="222">
        <v>-11011</v>
      </c>
      <c r="Q25" s="223">
        <v>-11011</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520741</v>
      </c>
      <c r="AU25" s="226">
        <v>0</v>
      </c>
      <c r="AV25" s="226">
        <v>768206</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1072</v>
      </c>
      <c r="Q26" s="223">
        <v>1072</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50064</v>
      </c>
      <c r="Q27" s="223">
        <v>50064</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13825</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6996</v>
      </c>
      <c r="Q28" s="223">
        <v>6996</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21309</v>
      </c>
      <c r="AU28" s="226">
        <v>0</v>
      </c>
      <c r="AV28" s="226">
        <v>65183</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8222</v>
      </c>
      <c r="Q30" s="223">
        <v>8222</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48314</v>
      </c>
      <c r="AU30" s="226">
        <v>0</v>
      </c>
      <c r="AV30" s="226">
        <v>1704</v>
      </c>
      <c r="AW30" s="303"/>
    </row>
    <row r="31" spans="1:49" x14ac:dyDescent="0.2">
      <c r="B31" s="248" t="s">
        <v>247</v>
      </c>
      <c r="C31" s="209"/>
      <c r="D31" s="222">
        <v>0</v>
      </c>
      <c r="E31" s="223">
        <v>0</v>
      </c>
      <c r="F31" s="223"/>
      <c r="G31" s="223"/>
      <c r="H31" s="223"/>
      <c r="I31" s="222">
        <v>0</v>
      </c>
      <c r="J31" s="222">
        <v>0</v>
      </c>
      <c r="K31" s="223">
        <v>0</v>
      </c>
      <c r="L31" s="223"/>
      <c r="M31" s="223"/>
      <c r="N31" s="223"/>
      <c r="O31" s="222"/>
      <c r="P31" s="222">
        <v>45384</v>
      </c>
      <c r="Q31" s="223">
        <v>45384</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267839</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19218</v>
      </c>
      <c r="Q34" s="223">
        <v>19218</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-5477</v>
      </c>
      <c r="Q35" s="223">
        <v>-5477</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8165</v>
      </c>
      <c r="AU35" s="226">
        <v>0</v>
      </c>
      <c r="AV35" s="226">
        <v>123</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2</v>
      </c>
      <c r="E37" s="231">
        <v>2</v>
      </c>
      <c r="F37" s="231"/>
      <c r="G37" s="231"/>
      <c r="H37" s="231"/>
      <c r="I37" s="230">
        <v>0</v>
      </c>
      <c r="J37" s="230">
        <v>1</v>
      </c>
      <c r="K37" s="231">
        <v>1</v>
      </c>
      <c r="L37" s="231"/>
      <c r="M37" s="231"/>
      <c r="N37" s="231"/>
      <c r="O37" s="230"/>
      <c r="P37" s="230">
        <v>2089</v>
      </c>
      <c r="Q37" s="231">
        <v>2096</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147</v>
      </c>
      <c r="AU37" s="232">
        <v>0</v>
      </c>
      <c r="AV37" s="232">
        <v>68406</v>
      </c>
      <c r="AW37" s="302"/>
    </row>
    <row r="38" spans="1:49" x14ac:dyDescent="0.2">
      <c r="B38" s="245" t="s">
        <v>254</v>
      </c>
      <c r="C38" s="209" t="s">
        <v>16</v>
      </c>
      <c r="D38" s="222">
        <v>2</v>
      </c>
      <c r="E38" s="223">
        <v>2</v>
      </c>
      <c r="F38" s="223"/>
      <c r="G38" s="223"/>
      <c r="H38" s="223"/>
      <c r="I38" s="222">
        <v>0</v>
      </c>
      <c r="J38" s="222">
        <v>1</v>
      </c>
      <c r="K38" s="223">
        <v>1</v>
      </c>
      <c r="L38" s="223"/>
      <c r="M38" s="223"/>
      <c r="N38" s="223"/>
      <c r="O38" s="222"/>
      <c r="P38" s="222">
        <v>480</v>
      </c>
      <c r="Q38" s="223">
        <v>481</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-1</v>
      </c>
      <c r="AU38" s="226">
        <v>0</v>
      </c>
      <c r="AV38" s="226">
        <v>9783</v>
      </c>
      <c r="AW38" s="303"/>
    </row>
    <row r="39" spans="1:49" x14ac:dyDescent="0.2">
      <c r="B39" s="248" t="s">
        <v>255</v>
      </c>
      <c r="C39" s="209" t="s">
        <v>17</v>
      </c>
      <c r="D39" s="222">
        <v>2</v>
      </c>
      <c r="E39" s="223">
        <v>2</v>
      </c>
      <c r="F39" s="223"/>
      <c r="G39" s="223"/>
      <c r="H39" s="223"/>
      <c r="I39" s="222">
        <v>0</v>
      </c>
      <c r="J39" s="222">
        <v>1</v>
      </c>
      <c r="K39" s="223">
        <v>1</v>
      </c>
      <c r="L39" s="223"/>
      <c r="M39" s="223"/>
      <c r="N39" s="223"/>
      <c r="O39" s="222"/>
      <c r="P39" s="222">
        <v>-3</v>
      </c>
      <c r="Q39" s="223">
        <v>35</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115</v>
      </c>
      <c r="AU39" s="226">
        <v>0</v>
      </c>
      <c r="AV39" s="226">
        <v>1664</v>
      </c>
      <c r="AW39" s="303"/>
    </row>
    <row r="40" spans="1:49" x14ac:dyDescent="0.2">
      <c r="B40" s="248" t="s">
        <v>256</v>
      </c>
      <c r="C40" s="209" t="s">
        <v>38</v>
      </c>
      <c r="D40" s="222">
        <v>2</v>
      </c>
      <c r="E40" s="223">
        <v>2</v>
      </c>
      <c r="F40" s="223"/>
      <c r="G40" s="223"/>
      <c r="H40" s="223"/>
      <c r="I40" s="222">
        <v>0</v>
      </c>
      <c r="J40" s="222">
        <v>1</v>
      </c>
      <c r="K40" s="223">
        <v>1</v>
      </c>
      <c r="L40" s="223"/>
      <c r="M40" s="223"/>
      <c r="N40" s="223"/>
      <c r="O40" s="222"/>
      <c r="P40" s="222">
        <v>70</v>
      </c>
      <c r="Q40" s="223">
        <v>70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431</v>
      </c>
      <c r="AU40" s="226">
        <v>0</v>
      </c>
      <c r="AV40" s="226">
        <v>10717</v>
      </c>
      <c r="AW40" s="303"/>
    </row>
    <row r="41" spans="1:49" s="11" customFormat="1" ht="25.5" x14ac:dyDescent="0.2">
      <c r="A41" s="41"/>
      <c r="B41" s="248" t="s">
        <v>257</v>
      </c>
      <c r="C41" s="209" t="s">
        <v>129</v>
      </c>
      <c r="D41" s="222">
        <v>2</v>
      </c>
      <c r="E41" s="223">
        <v>2</v>
      </c>
      <c r="F41" s="223"/>
      <c r="G41" s="223"/>
      <c r="H41" s="223"/>
      <c r="I41" s="222">
        <v>0</v>
      </c>
      <c r="J41" s="222">
        <v>1</v>
      </c>
      <c r="K41" s="223">
        <v>1</v>
      </c>
      <c r="L41" s="223"/>
      <c r="M41" s="223"/>
      <c r="N41" s="223"/>
      <c r="O41" s="222"/>
      <c r="P41" s="222">
        <v>1024</v>
      </c>
      <c r="Q41" s="223">
        <v>1024</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2221</v>
      </c>
      <c r="AU41" s="226">
        <v>0</v>
      </c>
      <c r="AV41" s="226">
        <v>30387</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107</v>
      </c>
      <c r="Q42" s="223">
        <v>107</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1240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38886</v>
      </c>
      <c r="Q44" s="231">
        <v>42185</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16716</v>
      </c>
      <c r="AU44" s="232">
        <v>0</v>
      </c>
      <c r="AV44" s="232">
        <v>340130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510</v>
      </c>
      <c r="Q45" s="223">
        <v>510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826</v>
      </c>
      <c r="AU45" s="226">
        <v>0</v>
      </c>
      <c r="AV45" s="226">
        <v>-295</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14836</v>
      </c>
      <c r="Q46" s="223">
        <v>14836</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68195</v>
      </c>
      <c r="AU46" s="226">
        <v>0</v>
      </c>
      <c r="AV46" s="226">
        <v>108955</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58761</v>
      </c>
      <c r="Q47" s="223">
        <v>58761</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338605</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15064</v>
      </c>
      <c r="Q49" s="223">
        <v>15064</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-113</v>
      </c>
      <c r="AU49" s="226">
        <v>0</v>
      </c>
      <c r="AV49" s="226">
        <v>785</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46014</v>
      </c>
      <c r="Q50" s="223">
        <v>46014</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10708</v>
      </c>
      <c r="AU50" s="226">
        <v>0</v>
      </c>
      <c r="AV50" s="226">
        <v>1998</v>
      </c>
      <c r="AW50" s="303"/>
    </row>
    <row r="51" spans="2:49" x14ac:dyDescent="0.2">
      <c r="B51" s="245" t="s">
        <v>266</v>
      </c>
      <c r="C51" s="209"/>
      <c r="D51" s="222">
        <v>0</v>
      </c>
      <c r="E51" s="223">
        <v>0</v>
      </c>
      <c r="F51" s="223"/>
      <c r="G51" s="223"/>
      <c r="H51" s="223"/>
      <c r="I51" s="222">
        <v>0</v>
      </c>
      <c r="J51" s="222">
        <v>0</v>
      </c>
      <c r="K51" s="223">
        <v>0</v>
      </c>
      <c r="L51" s="223"/>
      <c r="M51" s="223"/>
      <c r="N51" s="223"/>
      <c r="O51" s="222"/>
      <c r="P51" s="222">
        <v>34794</v>
      </c>
      <c r="Q51" s="223">
        <v>34794</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490634</v>
      </c>
      <c r="AU51" s="226">
        <v>0</v>
      </c>
      <c r="AV51" s="226">
        <v>1759689</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168</v>
      </c>
      <c r="Q53" s="223">
        <v>168</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358</v>
      </c>
      <c r="AU53" s="226">
        <v>0</v>
      </c>
      <c r="AV53" s="226">
        <v>3653</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4760032</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519</v>
      </c>
      <c r="Q56" s="235">
        <v>519</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2268</v>
      </c>
      <c r="AU56" s="236">
        <v>0</v>
      </c>
      <c r="AV56" s="236">
        <v>13553</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746</v>
      </c>
      <c r="Q57" s="238">
        <v>746</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4463</v>
      </c>
      <c r="AU57" s="239">
        <v>0</v>
      </c>
      <c r="AV57" s="239">
        <v>25028</v>
      </c>
      <c r="AW57" s="295"/>
    </row>
    <row r="58" spans="2:49" x14ac:dyDescent="0.2">
      <c r="B58" s="251" t="s">
        <v>273</v>
      </c>
      <c r="C58" s="209" t="s">
        <v>26</v>
      </c>
      <c r="D58" s="315"/>
      <c r="E58" s="316"/>
      <c r="F58" s="316"/>
      <c r="G58" s="316"/>
      <c r="H58" s="316"/>
      <c r="I58" s="315"/>
      <c r="J58" s="237">
        <v>0</v>
      </c>
      <c r="K58" s="238">
        <v>0</v>
      </c>
      <c r="L58" s="238"/>
      <c r="M58" s="238"/>
      <c r="N58" s="238"/>
      <c r="O58" s="237"/>
      <c r="P58" s="237">
        <v>4</v>
      </c>
      <c r="Q58" s="238">
        <v>4</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8</v>
      </c>
      <c r="AU58" s="239">
        <v>0</v>
      </c>
      <c r="AV58" s="239">
        <v>88</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5941</v>
      </c>
      <c r="Q59" s="238">
        <v>5941</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34741</v>
      </c>
      <c r="AU59" s="239">
        <v>0</v>
      </c>
      <c r="AV59" s="239">
        <v>234116</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495.08333333333331</v>
      </c>
      <c r="Q60" s="241">
        <f>Q$59/12</f>
        <v>495.08333333333331</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2895.0833333333335</v>
      </c>
      <c r="AU60" s="242">
        <f>AU$59/12</f>
        <v>0</v>
      </c>
      <c r="AV60" s="242">
        <f>AV$59/12</f>
        <v>19509.666666666668</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275561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90808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-4075</v>
      </c>
      <c r="E5" s="332">
        <v>-4075</v>
      </c>
      <c r="F5" s="332"/>
      <c r="G5" s="334"/>
      <c r="H5" s="334"/>
      <c r="I5" s="331">
        <v>0</v>
      </c>
      <c r="J5" s="331">
        <v>0</v>
      </c>
      <c r="K5" s="332">
        <v>0</v>
      </c>
      <c r="L5" s="332"/>
      <c r="M5" s="332"/>
      <c r="N5" s="332"/>
      <c r="O5" s="331"/>
      <c r="P5" s="331">
        <v>3040047</v>
      </c>
      <c r="Q5" s="332">
        <v>2635872</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15578618</v>
      </c>
      <c r="AU5" s="333">
        <v>0</v>
      </c>
      <c r="AV5" s="375"/>
      <c r="AW5" s="379"/>
    </row>
    <row r="6" spans="2:49" x14ac:dyDescent="0.2">
      <c r="B6" s="349" t="s">
        <v>278</v>
      </c>
      <c r="C6" s="337" t="s">
        <v>8</v>
      </c>
      <c r="D6" s="324">
        <v>4075</v>
      </c>
      <c r="E6" s="325">
        <v>4075</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125520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400504</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126363</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182</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2337216</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11654313</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2414808</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223819</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2055199</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39727</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127901</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971634</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1767</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1767</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1106</v>
      </c>
      <c r="Q36" s="325">
        <v>1106</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11</v>
      </c>
      <c r="Q45" s="325">
        <v>11</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54395</v>
      </c>
      <c r="Q49" s="325">
        <v>17</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5979</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2385390</v>
      </c>
      <c r="Q54" s="329">
        <f>Q24+Q27+Q31+Q35-Q36+Q39+Q42+Q45+Q46-Q49+Q51+Q52+Q53</f>
        <v>2455190</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12737878</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485290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105532</v>
      </c>
      <c r="D6" s="404">
        <v>-738</v>
      </c>
      <c r="E6" s="406">
        <f>SUM('Pt 1 Summary of Data'!E$12,'Pt 1 Summary of Data'!E$22)+SUM('Pt 1 Summary of Data'!G$12,'Pt 1 Summary of Data'!G$22)-SUM('Pt 1 Summary of Data'!H$12,'Pt 1 Summary of Data'!H$22)</f>
        <v>0</v>
      </c>
      <c r="F6" s="406">
        <f>SUM(C6:E6)</f>
        <v>104794</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643585</v>
      </c>
      <c r="N6" s="404">
        <v>1039399</v>
      </c>
      <c r="O6" s="406">
        <f>SUM('Pt 1 Summary of Data'!Q$12,'Pt 1 Summary of Data'!Q$22)+SUM('Pt 1 Summary of Data'!S$12,'Pt 1 Summary of Data'!S$22)-SUM('Pt 1 Summary of Data'!T$12,'Pt 1 Summary of Data'!T$22)</f>
        <v>2455190</v>
      </c>
      <c r="P6" s="406">
        <f>SUM(M6:O6)</f>
        <v>4138174</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20</v>
      </c>
      <c r="D7" s="404">
        <v>0</v>
      </c>
      <c r="E7" s="406">
        <f>SUM('Pt 1 Summary of Data'!E$37:E$41)+SUM('Pt 1 Summary of Data'!G$37:G$41)-SUM('Pt 1 Summary of Data'!H$37:H$41)+MAX(0,MIN('Pt 1 Summary of Data'!E$42+'Pt 1 Summary of Data'!G$42-'Pt 1 Summary of Data'!H$42,0.3%*('Pt 1 Summary of Data'!E$5+'Pt 1 Summary of Data'!G$5-'Pt 1 Summary of Data'!H$5-SUM(E$9:E$11))))</f>
        <v>10</v>
      </c>
      <c r="F7" s="406">
        <f>SUM(C7:E7)</f>
        <v>30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5</v>
      </c>
      <c r="K7" s="406">
        <f>SUM(H7:J7)</f>
        <v>5</v>
      </c>
      <c r="L7" s="407">
        <f>SUM('Pt 1 Summary of Data'!O$37:O$41)+MAX(0,MIN(VALUE('Pt 1 Summary of Data'!O$42),0.3%*('Pt 1 Summary of Data'!O$5-L$10)))</f>
        <v>0</v>
      </c>
      <c r="M7" s="403">
        <v>2889</v>
      </c>
      <c r="N7" s="404">
        <v>2006</v>
      </c>
      <c r="O7" s="406">
        <f>SUM('Pt 1 Summary of Data'!Q$37:Q$41)+SUM('Pt 1 Summary of Data'!S$37:S$41)-SUM('Pt 1 Summary of Data'!T$37:T$41)+MAX(0,MIN('Pt 1 Summary of Data'!Q$42+'Pt 1 Summary of Data'!S$42-'Pt 1 Summary of Data'!T$42,0.3%*('Pt 1 Summary of Data'!Q$5+'Pt 1 Summary of Data'!S$5-'Pt 1 Summary of Data'!T$5)))</f>
        <v>3813</v>
      </c>
      <c r="P7" s="406">
        <f>SUM(M7:O7)</f>
        <v>8708</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105552</v>
      </c>
      <c r="D12" s="406">
        <f>SUM(D$6:D$7) - SUM(D$8:D$11)+IF(AND(OR('Company Information'!$C$12="District of Columbia",'Company Information'!$C$12="Massachusetts",'Company Information'!$C$12="Vermont"),SUM($C$6:$F$11,$C$15:$F$16,$C$38:$D$38)&lt;&gt;0),SUM(I$6:I$7) - SUM(I$10:I$11),0)</f>
        <v>-738</v>
      </c>
      <c r="E12" s="406">
        <f>SUM(E$6:E$7)-SUM(E$8:E$11)+IF(AND(OR('Company Information'!$C$12="District of Columbia",'Company Information'!$C$12="Massachusetts",'Company Information'!$C$12="Vermont"),SUM($C$6:$F$11,$C$15:$F$16,$C$38:$D$38)&lt;&gt;0),SUM(J$6:J$7)-SUM(J$10:J$11),0)</f>
        <v>10</v>
      </c>
      <c r="F12" s="406">
        <f>IFERROR(SUM(C$12:E$12)+C$17*MAX(0,E$50-C$50)+D$17*MAX(0,E$50-D$50),0)</f>
        <v>104824</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5</v>
      </c>
      <c r="K12" s="406">
        <f>IFERROR(SUM(H$12:J$12)+H$17*MAX(0,J$50-H$50)+I$17*MAX(0,J$50-I$50),0)</f>
        <v>5</v>
      </c>
      <c r="L12" s="453"/>
      <c r="M12" s="405">
        <f>SUM(M$6:M$7)</f>
        <v>646474</v>
      </c>
      <c r="N12" s="406">
        <f>SUM(N$6:N$7)</f>
        <v>1041405</v>
      </c>
      <c r="O12" s="406">
        <f>SUM(O$6:O$7)</f>
        <v>2459003</v>
      </c>
      <c r="P12" s="406">
        <f>SUM(M$12:O$12)+M$17*MAX(0,O$50-M$50)+N$17*MAX(0,O$50-N$50)</f>
        <v>4146882</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19604</v>
      </c>
      <c r="D15" s="409">
        <v>0</v>
      </c>
      <c r="E15" s="401">
        <f>SUM('Pt 1 Summary of Data'!E$5:E$7)+SUM('Pt 1 Summary of Data'!G$5:G$7)-SUM('Pt 1 Summary of Data'!H$5:H$7)-SUM(E$9:E$11)</f>
        <v>0</v>
      </c>
      <c r="F15" s="401">
        <f>SUM(C15:E15)</f>
        <v>19604</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723939</v>
      </c>
      <c r="N15" s="409">
        <v>1505455</v>
      </c>
      <c r="O15" s="401">
        <f>SUM('Pt 1 Summary of Data'!Q$5:Q$7)+SUM('Pt 1 Summary of Data'!S$5:S$7)-SUM('Pt 1 Summary of Data'!T$5:T$7)+N$56</f>
        <v>2635947</v>
      </c>
      <c r="P15" s="401">
        <f>SUM(M15:O15)</f>
        <v>4865341</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-27630</v>
      </c>
      <c r="D16" s="404">
        <v>-2334</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-3</v>
      </c>
      <c r="F16" s="406">
        <f>SUM(C16:E16)</f>
        <v>-29967</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v>
      </c>
      <c r="K16" s="406">
        <f>SUM(H16:J16)</f>
        <v>-2</v>
      </c>
      <c r="L16" s="407">
        <f>SUM('Pt 1 Summary of Data'!O$25:O$28,'Pt 1 Summary of Data'!O$30,'Pt 1 Summary of Data'!O$34:O$35)+IF('Company Information'!$C$15="No",IF(MAX('Pt 1 Summary of Data'!O$31:O$32)=0,MIN('Pt 1 Summary of Data'!O$31:O$32),MAX('Pt 1 Summary of Data'!O$31:O$32)),SUM('Pt 1 Summary of Data'!O$31:O$32))</f>
        <v>0</v>
      </c>
      <c r="M16" s="403">
        <v>28267</v>
      </c>
      <c r="N16" s="404">
        <v>154638</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114468</v>
      </c>
      <c r="P16" s="406">
        <f>SUM(M16:O16)</f>
        <v>297373</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47234</v>
      </c>
      <c r="D17" s="406">
        <f>D$15-D$16+IF(AND(OR('Company Information'!$C$12="District of Columbia",'Company Information'!$C$12="Massachusetts",'Company Information'!$C$12="Vermont"),SUM($C$6:$F$11,$C$15:$F$16,$C$38:$D$38)&lt;&gt;0),I$15-I$16,0)</f>
        <v>2334</v>
      </c>
      <c r="E17" s="406">
        <f>E$15-E$16+IF(AND(OR('Company Information'!$C$12="District of Columbia",'Company Information'!$C$12="Massachusetts",'Company Information'!$C$12="Vermont"),SUM($C$6:$F$11,$C$15:$F$16,$C$38:$D$38)&lt;&gt;0),J$15-J$16,0)</f>
        <v>3</v>
      </c>
      <c r="F17" s="406">
        <f>F$15-F$16+IF(AND(OR('Company Information'!$C$12="District of Columbia",'Company Information'!$C$12="Massachusetts",'Company Information'!$C$12="Vermont"),SUM($C$6:$F$11,$C$15:$F$16,$C$38:$D$38)&lt;&gt;0),K$15-K$16,0)</f>
        <v>49571</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2</v>
      </c>
      <c r="K17" s="406">
        <f>K$15-K$16+IF(AND(OR('Company Information'!$C$12="District of Columbia",'Company Information'!$C$12="Massachusetts",'Company Information'!$C$12="Vermont"),SUM($H$6:$K$11,$H$15:$K$16,$H$38:$I$38)&lt;&gt;0),F$15-F$16,0)</f>
        <v>2</v>
      </c>
      <c r="L17" s="456"/>
      <c r="M17" s="405">
        <f>M$15-M$16</f>
        <v>695672</v>
      </c>
      <c r="N17" s="406">
        <f>N$15-N$16</f>
        <v>1350817</v>
      </c>
      <c r="O17" s="406">
        <f>O$15-O$16</f>
        <v>2521479</v>
      </c>
      <c r="P17" s="406">
        <f>P$15-P$16</f>
        <v>4567968</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1</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142.83330000000001</v>
      </c>
      <c r="N38" s="411">
        <v>280.41669999999999</v>
      </c>
      <c r="O38" s="438">
        <f>('Pt 1 Summary of Data'!Q$59+'Pt 1 Summary of Data'!S$59-'Pt 1 Summary of Data'!T$59)/12</f>
        <v>495.08333333333331</v>
      </c>
      <c r="P38" s="438">
        <f>SUM(M$38:O$38)</f>
        <v>918.33333333333326</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0.85</v>
      </c>
      <c r="K50" s="413">
        <v>0.85</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5750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2106</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519</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2016-07-29T14:12:56Z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