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4" s="1"/>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54" i="18" s="1"/>
  <c r="K12" i="4" s="1"/>
  <c r="J6" i="10" s="1"/>
  <c r="K35" i="18"/>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D60" i="4"/>
  <c r="D22" i="4"/>
  <c r="D12" i="4"/>
  <c r="D5" i="4"/>
  <c r="X37" i="10" l="1"/>
  <c r="P6" i="10"/>
  <c r="L20" i="10"/>
  <c r="T15" i="10"/>
  <c r="AB37" i="10"/>
  <c r="E15" i="10"/>
  <c r="F37" i="10"/>
  <c r="J12" i="10"/>
  <c r="H17" i="10"/>
  <c r="K6" i="10"/>
  <c r="I17" i="10"/>
  <c r="I44" i="10" s="1"/>
  <c r="H12" i="10"/>
  <c r="I12" i="10"/>
  <c r="S6" i="10"/>
  <c r="AA6" i="10"/>
  <c r="G29" i="10"/>
  <c r="K15" i="10"/>
  <c r="J17" i="10"/>
  <c r="K37" i="10"/>
  <c r="J44" i="10"/>
  <c r="F6" i="10"/>
  <c r="P15" i="10"/>
  <c r="P17" i="10" s="1"/>
  <c r="O17" i="10"/>
  <c r="O44" i="10"/>
  <c r="P37" i="10"/>
  <c r="T37" i="10"/>
  <c r="X6" i="10"/>
  <c r="L29" i="10"/>
  <c r="L25" i="10"/>
  <c r="L21" i="10"/>
  <c r="L28" i="10"/>
  <c r="J7" i="10"/>
  <c r="K7" i="10" s="1"/>
  <c r="M44" i="10"/>
  <c r="S7" i="10"/>
  <c r="T7" i="10" s="1"/>
  <c r="Z45" i="10"/>
  <c r="AA15" i="10"/>
  <c r="E7" i="10"/>
  <c r="F7" i="10" s="1"/>
  <c r="L19" i="10"/>
  <c r="L24" i="10" s="1"/>
  <c r="L23" i="10" s="1"/>
  <c r="O7" i="10"/>
  <c r="P7" i="10" s="1"/>
  <c r="W15" i="10"/>
  <c r="G7" i="10"/>
  <c r="G20" i="10" s="1"/>
  <c r="P51" i="10" l="1"/>
  <c r="P52" i="10" s="1"/>
  <c r="E11" i="16" s="1"/>
  <c r="P46" i="10"/>
  <c r="P38" i="10"/>
  <c r="P44" i="10"/>
  <c r="P47" i="10" s="1"/>
  <c r="P50" i="10" s="1"/>
  <c r="P41" i="10"/>
  <c r="H44" i="10"/>
  <c r="K12" i="10"/>
  <c r="F15" i="10"/>
  <c r="E17" i="10"/>
  <c r="E44" i="10" s="1"/>
  <c r="X41" i="10"/>
  <c r="X51" i="10"/>
  <c r="X52" i="10" s="1"/>
  <c r="G11" i="16" s="1"/>
  <c r="X46" i="10"/>
  <c r="X38" i="10"/>
  <c r="V17" i="10"/>
  <c r="V45" i="10" s="1"/>
  <c r="V13" i="10"/>
  <c r="K51" i="10"/>
  <c r="K52" i="10" s="1"/>
  <c r="D11" i="16" s="1"/>
  <c r="K46" i="10"/>
  <c r="K38" i="10"/>
  <c r="K41" i="10"/>
  <c r="L27" i="10"/>
  <c r="W13" i="10"/>
  <c r="T51" i="10"/>
  <c r="T52" i="10" s="1"/>
  <c r="F11" i="16" s="1"/>
  <c r="T46" i="10"/>
  <c r="T38" i="10"/>
  <c r="T41" i="10"/>
  <c r="G21" i="10"/>
  <c r="AA13" i="10"/>
  <c r="AB6" i="10"/>
  <c r="AB13" i="10" s="1"/>
  <c r="F51" i="10"/>
  <c r="F52" i="10" s="1"/>
  <c r="C11" i="16" s="1"/>
  <c r="F46" i="10"/>
  <c r="F41" i="10"/>
  <c r="AB41" i="10"/>
  <c r="AB51" i="10"/>
  <c r="AB52" i="10" s="1"/>
  <c r="H11" i="16" s="1"/>
  <c r="AB46" i="10"/>
  <c r="AB38" i="10"/>
  <c r="G19" i="10"/>
  <c r="G24" i="10" s="1"/>
  <c r="G23" i="10" s="1"/>
  <c r="G27" i="10" s="1"/>
  <c r="W17" i="10"/>
  <c r="W45" i="10" s="1"/>
  <c r="X15" i="10"/>
  <c r="AA17" i="10"/>
  <c r="AA45" i="10" s="1"/>
  <c r="AB15" i="10"/>
  <c r="AB17" i="10" s="1"/>
  <c r="AB45" i="10" s="1"/>
  <c r="AB47" i="10" s="1"/>
  <c r="AB50" i="10" s="1"/>
  <c r="G28" i="10"/>
  <c r="K17" i="10"/>
  <c r="K44" i="10" s="1"/>
  <c r="K47" i="10" s="1"/>
  <c r="K50" i="10" s="1"/>
  <c r="G25" i="10"/>
  <c r="T6" i="10"/>
  <c r="T17" i="10" s="1"/>
  <c r="T45" i="10" s="1"/>
  <c r="T47" i="10" s="1"/>
  <c r="T50" i="10" s="1"/>
  <c r="S13" i="10"/>
  <c r="R17" i="10"/>
  <c r="R45" i="10" s="1"/>
  <c r="Q13" i="10"/>
  <c r="S17" i="10"/>
  <c r="S45" i="10" s="1"/>
  <c r="O12" i="10"/>
  <c r="P12" i="10" s="1"/>
  <c r="G26" i="10" l="1"/>
  <c r="G30" i="10" s="1"/>
  <c r="G31" i="10"/>
  <c r="G32" i="10" s="1"/>
  <c r="G33" i="10" s="1"/>
  <c r="L31" i="10"/>
  <c r="L32" i="10" s="1"/>
  <c r="L33" i="10" s="1"/>
  <c r="L26" i="10"/>
  <c r="L30" i="10" s="1"/>
  <c r="F17" i="10"/>
  <c r="F44" i="10" s="1"/>
  <c r="F47" i="10" s="1"/>
  <c r="F50" i="10" s="1"/>
  <c r="C12" i="10"/>
  <c r="C17" i="10"/>
  <c r="R13" i="10"/>
  <c r="Q17" i="10"/>
  <c r="D12" i="10"/>
  <c r="X17" i="10"/>
  <c r="X45" i="10" s="1"/>
  <c r="X47" i="10" s="1"/>
  <c r="X50" i="10" s="1"/>
  <c r="U13" i="10"/>
  <c r="E12" i="10"/>
  <c r="D17" i="10"/>
  <c r="D44" i="10" s="1"/>
  <c r="U17" i="10"/>
  <c r="U45" i="10" l="1"/>
  <c r="X13" i="10"/>
  <c r="F12" i="10"/>
  <c r="C44" i="10"/>
  <c r="F38" i="10" s="1"/>
  <c r="Q45" i="10"/>
  <c r="T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<sst xmlns="http://schemas.openxmlformats.org/spreadsheetml/2006/main" count="568" uniqueCount="506">
  <si>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</si>
  <si>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</si>
  <si>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</si>
  <si>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</si>
  <si>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</si>
  <si>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</si>
  <si>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</si>
  <si>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</si>
  <si>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</si>
  <si>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</si>
  <si>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</si>
  <si>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</si>
  <si>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</si>
  <si>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</si>
  <si>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</si>
  <si>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</si>
  <si>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</si>
  <si>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</si>
  <si>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</si>
  <si>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</si>
  <si>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</si>
  <si>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</si>
  <si>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</si>
  <si>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</si>
  <si>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</si>
  <si>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</si>
  <si>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</si>
  <si>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</si>
  <si>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</si>
  <si>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</si>
  <si>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</si>
  <si>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</si>
  <si>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</si>
  <si>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</si>
  <si>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</si>
  <si>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</si>
  <si>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</si>
  <si>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</si>
  <si>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</si>
  <si>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</si>
  <si>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</si>
  <si>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</si>
  <si>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</si>
  <si>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</si>
  <si>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</si>
  <si>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</si>
  <si>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</si>
  <si>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</si>
  <si>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</si>
  <si>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</si>
  <si>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</si>
  <si>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</si>
  <si>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</si>
  <si>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</si>
  <si>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</si>
  <si>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</si>
  <si>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</si>
  <si>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</si>
  <si>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</si>
  <si>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</si>
  <si>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</si>
  <si>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</si>
  <si>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</si>
  <si>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</si>
  <si>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</si>
  <si>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</si>
  <si>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</si>
  <si>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</si>
  <si>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</si>
  <si>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</si>
  <si>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</si>
  <si>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</si>
  <si>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</si>
  <si>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</si>
  <si>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</si>
  <si>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</si>
  <si>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</si>
  <si>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</si>
  <si>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</si>
  <si>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</si>
  <si>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</si>
  <si>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</si>
  <si>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</si>
  <si>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</si>
  <si>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</si>
  <si>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</si>
  <si>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</si>
  <si>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</si>
  <si>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</si>
  <si>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</si>
  <si>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</si>
  <si>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</si>
  <si>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</si>
  <si>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</si>
  <si>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</si>
  <si>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</si>
  <si>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</si>
  <si>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</si>
  <si>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</si>
  <si>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</si>
  <si>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</si>
  <si>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</si>
  <si>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</si>
  <si>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</si>
  <si>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</si>
  <si>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</si>
  <si>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</si>
  <si>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</si>
  <si>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</si>
  <si>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</si>
  <si>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</si>
  <si>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</si>
  <si>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</si>
  <si>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</si>
  <si>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</si>
  <si>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</si>
  <si>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</si>
  <si>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</si>
  <si>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</si>
  <si>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</si>
  <si>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</si>
  <si>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</si>
  <si>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</si>
  <si>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</si>
  <si>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</si>
  <si>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</si>
  <si>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</si>
  <si>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</si>
  <si>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</si>
  <si>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</si>
  <si>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</si>
  <si>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</si>
  <si>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</si>
  <si>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</si>
  <si>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</si>
  <si>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</si>
  <si>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</si>
  <si>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</si>
  <si>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</si>
  <si>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</si>
  <si>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</si>
  <si>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</si>
  <si>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</si>
  <si>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</si>
  <si>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</si>
  <si>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</si>
  <si>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</si>
  <si>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</si>
  <si>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</si>
  <si>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</si>
  <si>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</si>
  <si>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</si>
  <si>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</si>
  <si>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</si>
  <si>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</si>
  <si>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</si>
  <si>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</si>
  <si>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</si>
  <si>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</si>
  <si>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</si>
  <si>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</si>
  <si>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</si>
  <si>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</si>
  <si>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</si>
  <si>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</si>
  <si>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</si>
  <si>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</si>
  <si>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</si>
  <si>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</si>
  <si>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</si>
  <si>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</si>
  <si>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</si>
  <si>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</si>
  <si>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</si>
  <si>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</si>
  <si>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</si>
  <si>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</si>
  <si>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</si>
  <si>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</si>
  <si>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</si>
  <si>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</si>
  <si>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</si>
  <si>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</si>
  <si>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</si>
  <si>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</si>
  <si>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</si>
  <si>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</si>
  <si>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</si>
  <si>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</si>
  <si>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</si>
  <si>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</si>
  <si>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</si>
  <si>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</si>
  <si>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</si>
  <si>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</si>
  <si>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</si>
  <si>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</si>
  <si>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</si>
  <si>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</si>
  <si>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</si>
  <si>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</si>
  <si>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</si>
  <si>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</si>
  <si>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</si>
  <si>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</si>
  <si>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</si>
  <si>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</si>
  <si>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</si>
  <si>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</si>
  <si>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</si>
  <si>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</si>
  <si>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</si>
  <si>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</si>
  <si>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</si>
  <si>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</si>
  <si>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</si>
  <si>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</si>
  <si>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</si>
  <si>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</si>
  <si>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</si>
  <si>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</si>
  <si>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</si>
  <si>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</si>
  <si>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</si>
  <si>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</si>
  <si>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</si>
  <si>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</si>
  <si>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</si>
  <si>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</si>
  <si>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</si>
  <si>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</si>
  <si>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</si>
  <si>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</si>
  <si>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</si>
  <si>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</si>
  <si>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</si>
  <si>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</si>
  <si>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</si>
  <si>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</si>
  <si>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</si>
  <si>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</si>
  <si>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</si>
  <si>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</si>
  <si>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</si>
  <si>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</si>
  <si>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</si>
  <si>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</si>
  <si>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</si>
  <si>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</si>
  <si>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</si>
  <si>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</si>
  <si>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</si>
  <si>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</si>
  <si>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</si>
  <si>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</si>
  <si>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</si>
  <si>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</si>
  <si>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</si>
  <si>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</si>
  <si>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</si>
  <si>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</si>
  <si>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</si>
  <si>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</si>
  <si>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</si>
  <si>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</si>
  <si>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</si>
  <si>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</si>
  <si>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</si>
  <si>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</si>
  <si>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</si>
  <si>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</si>
  <si>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</si>
  <si>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</si>
  <si>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</si>
  <si>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</si>
  <si>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</si>
  <si>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</si>
  <si>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</si>
  <si>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</si>
  <si>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</si>
  <si>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</si>
  <si>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</si>
  <si>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</si>
  <si>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</si>
  <si>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</si>
  <si>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</si>
  <si>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</si>
  <si>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</si>
  <si>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</si>
  <si>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</si>
  <si>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</si>
  <si>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</si>
  <si>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</si>
  <si>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</si>
  <si>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</si>
  <si>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</si>
  <si>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</si>
  <si>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</si>
  <si>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</si>
  <si>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</si>
  <si>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</si>
  <si>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</si>
  <si>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</si>
  <si>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</si>
  <si>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</si>
  <si>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</si>
  <si>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</si>
  <si>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</si>
  <si>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</si>
  <si>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</si>
  <si>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</si>
  <si>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</si>
  <si>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</si>
  <si>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</si>
  <si>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</si>
  <si>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</si>
  <si>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</si>
  <si>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</si>
  <si>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</si>
  <si>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</si>
  <si>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</si>
  <si>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</si>
  <si>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</si>
  <si>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</si>
  <si>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</si>
  <si>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</si>
  <si>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</si>
  <si>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</si>
  <si>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</si>
  <si>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</si>
  <si>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</si>
  <si>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</si>
  <si>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</si>
  <si>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</si>
  <si>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</si>
  <si>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</si>
  <si>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</si>
  <si>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</si>
  <si>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</si>
  <si>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</si>
  <si>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</si>
  <si>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</si>
  <si>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</si>
  <si>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</si>
  <si>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</si>
  <si>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</si>
  <si>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</si>
  <si>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</si>
  <si>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</si>
  <si>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</si>
  <si>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</si>
  <si>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</si>
  <si>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</si>
  <si>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</si>
  <si>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</si>
  <si>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</si>
  <si>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</si>
  <si>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</si>
  <si>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</si>
  <si>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</si>
  <si>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</si>
  <si>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</si>
  <si>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</si>
  <si>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</si>
  <si>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</si>
  <si>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</si>
  <si>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</si>
  <si>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</si>
  <si>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</si>
  <si>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</si>
  <si>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</si>
  <si>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</si>
  <si>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</si>
  <si>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</si>
  <si>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</si>
  <si>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</si>
  <si>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</si>
  <si>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</si>
  <si>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</si>
  <si>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</si>
  <si>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</si>
  <si>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</si>
  <si>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</si>
  <si>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</si>
  <si>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</si>
  <si>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</si>
  <si>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</si>
  <si>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</si>
  <si>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</si>
  <si>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</si>
  <si>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</si>
  <si>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</si>
  <si>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</si>
  <si>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</si>
  <si>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</si>
  <si>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</si>
  <si>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</si>
  <si>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</si>
  <si>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</si>
  <si>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</si>
  <si>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</si>
  <si>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</si>
  <si>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</si>
  <si>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</si>
  <si>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</si>
  <si>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</si>
  <si>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</si>
  <si>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</si>
  <si>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</si>
  <si>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</si>
  <si>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</si>
  <si>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</si>
  <si>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</si>
  <si>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</si>
  <si>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</si>
  <si>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</si>
  <si>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</si>
  <si>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</si>
  <si>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</si>
  <si>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</si>
  <si>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</si>
  <si>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</si>
  <si>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</si>
  <si>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</si>
  <si>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</si>
  <si>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</si>
  <si>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</si>
  <si>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</si>
  <si>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</si>
  <si>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</si>
  <si>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</si>
  <si>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</si>
  <si>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</si>
  <si>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</si>
  <si>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</si>
  <si>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</si>
  <si>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</si>
  <si>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</si>
  <si>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</si>
  <si>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</si>
  <si>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</si>
  <si>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</si>
  <si>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</si>
  <si>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</si>
  <si>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</si>
  <si>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</si>
  <si>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</si>
  <si>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</si>
  <si>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</si>
  <si>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</si>
  <si>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</si>
  <si>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</si>
  <si>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</si>
  <si>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</si>
  <si>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</si>
  <si>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</si>
  <si>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</si>
  <si>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</si>
  <si>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</si>
  <si>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</si>
  <si>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</si>
  <si>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</si>
  <si>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</si>
  <si>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</si>
  <si>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</si>
  <si>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</si>
  <si>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</si>
  <si>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</si>
  <si>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</si>
  <si>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</si>
  <si>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</si>
  <si>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</si>
  <si>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</si>
  <si>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</si>
  <si>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</si>
  <si>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</si>
  <si>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</si>
  <si>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</si>
  <si>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</si>
  <si>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</si>
  <si>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</si>
  <si>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</si>
  <si>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</si>
  <si>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</si>
  <si>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</si>
  <si>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</si>
  <si>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</si>
  <si>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</si>
  <si>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</si>
  <si>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</si>
  <si>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</si>
  <si>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</si>
  <si>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</si>
  <si>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</si>
  <si>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</si>
  <si>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</si>
  <si>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</si>
  <si>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</si>
  <si>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</si>
  <si>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</si>
  <si>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</si>
  <si>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</si>
  <si>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</si>
  <si>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26933</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</si>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</sst>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169</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1375537</v>
      </c>
      <c r="Q5" s="112">
        <f>'Pt 2 Premium and Claims'!Q5+'Pt 2 Premium and Claims'!Q6-'Pt 2 Premium and Claims'!Q7-'Pt 2 Premium and Claims'!Q13+'Pt 2 Premium and Claims'!Q14</f>
        <v>1379594</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1405978</v>
      </c>
      <c r="AT5" s="113">
        <f>'Pt 2 Premium and Claims'!AT5+'Pt 2 Premium and Claims'!AT6-'Pt 2 Premium and Claims'!AT7-'Pt 2 Premium and Claims'!AT13+'Pt 2 Premium and Claims'!AT14</f>
        <v>153972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-1608</v>
      </c>
      <c r="Q7" s="116">
        <f>P7</f>
        <v>-1608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-180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1005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-5</v>
      </c>
      <c r="K12" s="112">
        <f>'Pt 2 Premium and Claims'!K54</f>
        <v>-5</v>
      </c>
      <c r="L12" s="112"/>
      <c r="M12" s="112"/>
      <c r="N12" s="112"/>
      <c r="O12" s="111">
        <f>'Pt 2 Premium and Claims'!O54</f>
        <v>0</v>
      </c>
      <c r="P12" s="111">
        <f>'Pt 2 Premium and Claims'!P54</f>
        <v>1002910</v>
      </c>
      <c r="Q12" s="112">
        <f>'Pt 2 Premium and Claims'!Q54</f>
        <v>980318</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1192182</v>
      </c>
      <c r="AT12" s="113">
        <f>'Pt 2 Premium and Claims'!AT54</f>
        <v>79902</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102431</v>
      </c>
      <c r="Q13" s="116">
        <v>101318</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1625057</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10741</v>
      </c>
      <c r="Q14" s="116">
        <v>6409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493764</v>
      </c>
      <c r="AT14" s="119">
        <v>1577</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2</v>
      </c>
      <c r="K25" s="116">
        <f>J25</f>
        <v>2</v>
      </c>
      <c r="L25" s="116"/>
      <c r="M25" s="116"/>
      <c r="N25" s="116"/>
      <c r="O25" s="115">
        <v>0</v>
      </c>
      <c r="P25" s="115">
        <v>78500</v>
      </c>
      <c r="Q25" s="116">
        <f>P25</f>
        <v>78500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31163</v>
      </c>
      <c r="AT25" s="119">
        <v>20068</v>
      </c>
      <c r="AU25" s="119">
        <v>0</v>
      </c>
      <c r="AV25" s="119">
        <v>1964</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552</v>
      </c>
      <c r="Q26" s="116">
        <f>P26</f>
        <v>552</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19743</v>
      </c>
      <c r="Q27" s="116">
        <f>P27</f>
        <v>19743</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22454</v>
      </c>
      <c r="AT27" s="119">
        <v>1984</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3493</v>
      </c>
      <c r="Q28" s="116">
        <f>P28</f>
        <v>3493</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1196</v>
      </c>
      <c r="AT28" s="119">
        <v>218</v>
      </c>
      <c r="AU28" s="119">
        <v>0</v>
      </c>
      <c r="AV28" s="119">
        <v>659</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4271</v>
      </c>
      <c r="Q30" s="116">
        <f>P30</f>
        <v>4271</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472</v>
      </c>
      <c r="AU30" s="119">
        <v>0</v>
      </c>
      <c r="AV30" s="119">
        <v>21</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24033</v>
      </c>
      <c r="Q31" s="116">
        <f>P31</f>
        <v>24033</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2690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16417</v>
      </c>
      <c r="Q34" s="116">
        <f>P34</f>
        <v>16417</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316</v>
      </c>
      <c r="Q35" s="116">
        <f>P35</f>
        <v>316</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39</v>
      </c>
      <c r="AU35" s="119">
        <v>0</v>
      </c>
      <c r="AV35" s="119">
        <v>232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610</v>
      </c>
      <c r="Q37" s="124">
        <v>610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30015</v>
      </c>
      <c r="AT37" s="125">
        <v>2</v>
      </c>
      <c r="AU37" s="125">
        <v>0</v>
      </c>
      <c r="AV37" s="125">
        <v>804</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38</v>
      </c>
      <c r="Q38" s="116">
        <v>38</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65</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1085</v>
      </c>
      <c r="Q39" s="116">
        <v>895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2</v>
      </c>
      <c r="AU39" s="119">
        <v>0</v>
      </c>
      <c r="AV39" s="119">
        <v>23</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157</v>
      </c>
      <c r="Q40" s="116">
        <v>157</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v>
      </c>
      <c r="AU40" s="119">
        <v>0</v>
      </c>
      <c r="AV40" s="119">
        <v>137</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516</v>
      </c>
      <c r="Q41" s="116">
        <v>516</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10</v>
      </c>
      <c r="AU41" s="119">
        <v>0</v>
      </c>
      <c r="AV41" s="119">
        <v>320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158</v>
      </c>
      <c r="Q42" s="116">
        <f>P42</f>
        <v>158</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55</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33529</v>
      </c>
      <c r="Q44" s="124">
        <v>27686</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39</v>
      </c>
      <c r="AU44" s="125">
        <v>0</v>
      </c>
      <c r="AV44" s="125">
        <v>3271</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482</v>
      </c>
      <c r="Q45" s="116">
        <f>P45</f>
        <v>482</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61</v>
      </c>
      <c r="AT45" s="119">
        <v>24</v>
      </c>
      <c r="AU45" s="119">
        <v>0</v>
      </c>
      <c r="AV45" s="119">
        <v>5</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4978</v>
      </c>
      <c r="Q46" s="116">
        <f>P46</f>
        <v>4978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294</v>
      </c>
      <c r="AU46" s="119">
        <v>0</v>
      </c>
      <c r="AV46" s="119">
        <v>1118</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29234</v>
      </c>
      <c r="Q47" s="116">
        <f>P47</f>
        <v>29234</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3501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-17</v>
      </c>
      <c r="Q49" s="116">
        <f>P49</f>
        <v>-17</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21</v>
      </c>
      <c r="AU49" s="119">
        <v>0</v>
      </c>
      <c r="AV49" s="119">
        <v>85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1100</v>
      </c>
      <c r="Q50" s="116">
        <f>P50</f>
        <v>1100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880</v>
      </c>
      <c r="AT50" s="119">
        <v>98</v>
      </c>
      <c r="AU50" s="119">
        <v>0</v>
      </c>
      <c r="AV50" s="119">
        <v>295</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25143</v>
      </c>
      <c r="Q51" s="116">
        <f>P51</f>
        <v>25143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98702</v>
      </c>
      <c r="AT51" s="119">
        <v>9990</v>
      </c>
      <c r="AU51" s="119">
        <v>0</v>
      </c>
      <c r="AV51" s="119">
        <v>19617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176</v>
      </c>
      <c r="Q53" s="116">
        <f>P53</f>
        <v>176</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85</v>
      </c>
      <c r="AT53" s="119">
        <v>34</v>
      </c>
      <c r="AU53" s="119">
        <v>0</v>
      </c>
      <c r="AV53" s="119">
        <v>69</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32333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93</v>
      </c>
      <c r="Q56" s="128">
        <f>P56</f>
        <v>93</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1284</v>
      </c>
      <c r="AT56" s="129">
        <v>237</v>
      </c>
      <c r="AU56" s="129">
        <v>0</v>
      </c>
      <c r="AV56" s="129">
        <v>292</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266</v>
      </c>
      <c r="Q57" s="131">
        <f>P57</f>
        <v>266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1284</v>
      </c>
      <c r="AT57" s="132">
        <v>604</v>
      </c>
      <c r="AU57" s="132">
        <v>0</v>
      </c>
      <c r="AV57" s="132">
        <v>468</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v>
      </c>
      <c r="Q58" s="131">
        <f>P58</f>
        <v>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v>
      </c>
      <c r="AU58" s="132">
        <v>0</v>
      </c>
      <c r="AV58" s="132">
        <v>7</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3145</v>
      </c>
      <c r="Q59" s="131">
        <v>3145</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15056</v>
      </c>
      <c r="AT59" s="132">
        <v>6071</v>
      </c>
      <c r="AU59" s="132">
        <v>0</v>
      </c>
      <c r="AV59" s="132">
        <v>2472</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262.08333333333331</v>
      </c>
      <c r="Q60" s="134">
        <f>Q59/12</f>
        <v>262.08333333333331</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1254.6666666666667</v>
      </c>
      <c r="AT60" s="135">
        <f>AT59/12</f>
        <v>505.91666666666669</v>
      </c>
      <c r="AU60" s="135">
        <f>AU59/12</f>
        <v>0</v>
      </c>
      <c r="AV60" s="135">
        <f>AV59/12</f>
        <v>206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26039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8830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495</v>
      </c>
      <c r="E5" s="124">
        <v>0</v>
      </c>
      <c r="F5" s="124"/>
      <c r="G5" s="136"/>
      <c r="H5" s="136"/>
      <c r="I5" s="123">
        <v>0</v>
      </c>
      <c r="J5" s="123">
        <v>0</v>
      </c>
      <c r="K5" s="124">
        <v>0</v>
      </c>
      <c r="L5" s="124"/>
      <c r="M5" s="124"/>
      <c r="N5" s="124"/>
      <c r="O5" s="123">
        <v>0</v>
      </c>
      <c r="P5" s="123">
        <v>1501567</v>
      </c>
      <c r="Q5" s="124">
        <v>1376596</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1406369</v>
      </c>
      <c r="AT5" s="125">
        <v>162009</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2998</v>
      </c>
      <c r="Q6" s="116">
        <v>2998</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5047</v>
      </c>
      <c r="AT6" s="119">
        <v>1722</v>
      </c>
      <c r="AU6" s="119">
        <v>0</v>
      </c>
      <c r="AV6" s="317"/>
      <c r="AW6" s="324"/>
    </row>
    <row r="7" spans="2:49" x14ac:dyDescent="0.2">
      <c r="B7" s="182" t="s">
        <v>280</v>
      </c>
      <c r="C7" s="139" t="s">
        <v>9</v>
      </c>
      <c r="D7" s="115">
        <v>495</v>
      </c>
      <c r="E7" s="116"/>
      <c r="F7" s="116"/>
      <c r="G7" s="117"/>
      <c r="H7" s="117"/>
      <c r="I7" s="115"/>
      <c r="J7" s="115">
        <v>0</v>
      </c>
      <c r="K7" s="116"/>
      <c r="L7" s="116"/>
      <c r="M7" s="116"/>
      <c r="N7" s="116"/>
      <c r="O7" s="115"/>
      <c r="P7" s="115">
        <v>129028</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5324</v>
      </c>
      <c r="AT7" s="119">
        <v>11441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114</v>
      </c>
      <c r="AT13" s="119">
        <v>-1682</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-5</v>
      </c>
      <c r="K23" s="294"/>
      <c r="L23" s="294"/>
      <c r="M23" s="294"/>
      <c r="N23" s="294"/>
      <c r="O23" s="298"/>
      <c r="P23" s="115">
        <v>970669</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1443331</v>
      </c>
      <c r="AT23" s="119">
        <v>89507</v>
      </c>
      <c r="AU23" s="119">
        <v>0</v>
      </c>
      <c r="AV23" s="317"/>
      <c r="AW23" s="324"/>
    </row>
    <row r="24" spans="2:49" ht="28.5" customHeight="1" x14ac:dyDescent="0.2">
      <c r="B24" s="184" t="s">
        <v>114</v>
      </c>
      <c r="C24" s="139"/>
      <c r="D24" s="299"/>
      <c r="E24" s="116">
        <v>0</v>
      </c>
      <c r="F24" s="116"/>
      <c r="G24" s="116"/>
      <c r="H24" s="116"/>
      <c r="I24" s="115">
        <v>0</v>
      </c>
      <c r="J24" s="299"/>
      <c r="K24" s="116">
        <v>-5</v>
      </c>
      <c r="L24" s="116"/>
      <c r="M24" s="116"/>
      <c r="N24" s="116"/>
      <c r="O24" s="115">
        <v>0</v>
      </c>
      <c r="P24" s="299"/>
      <c r="Q24" s="116">
        <v>965805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117141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63878</v>
      </c>
      <c r="AT26" s="119">
        <v>11270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15485</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81744</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20875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1013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1013</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704</v>
      </c>
      <c r="Q36" s="116">
        <f>P36</f>
        <v>704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165</v>
      </c>
      <c r="Q45" s="116">
        <v>165</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8311</v>
      </c>
      <c r="Q49" s="116">
        <v>1446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315027</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4681</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-5</v>
      </c>
      <c r="K54" s="121">
        <f>K24+K27+K31+K35-K36+K39+K42+K45+K46-K49+K51+K52+K53</f>
        <v>-5</v>
      </c>
      <c r="L54" s="121"/>
      <c r="M54" s="121"/>
      <c r="N54" s="121"/>
      <c r="O54" s="120">
        <f>O24+O27+O31+O35-O36+O39+O42+O45+O46-O49+O51+O52+O53</f>
        <v>0</v>
      </c>
      <c r="P54" s="120">
        <f>P23+P26-P28+P30-P32+P34-P36+P38+P41-P43+P45+P46-P47-P49+P50+P51+P52+P53</f>
        <v>1002910</v>
      </c>
      <c r="Q54" s="121">
        <f>Q24+Q27+Q31+Q35-Q36+Q39+Q42+Q45+Q46-Q49+Q51+Q52+Q53</f>
        <v>980318</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1192182</v>
      </c>
      <c r="AT54" s="122">
        <f>AT23+AT26-AT28+AT30-AT32+AT34-AT36+AT38+AT41-AT43+AT45+AT46-AT47-AT49+AT50+AT51+AT52+AT53</f>
        <v>79902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v>239.29</v>
      </c>
      <c r="N5" s="124">
        <v>511139</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0</v>
      </c>
      <c r="I6" s="116">
        <v>0</v>
      </c>
      <c r="J6" s="121">
        <f>'Pt 1 Summary of Data'!K12+'Pt 1 Summary of Data'!K22</f>
        <v>-5</v>
      </c>
      <c r="K6" s="121">
        <f>SUM(H6:J6)</f>
        <v>-5</v>
      </c>
      <c r="L6" s="122">
        <f>'Pt 1 Summary of Data'!O12+'Pt 1 Summary of Data'!O22</f>
        <v>0</v>
      </c>
      <c r="M6" s="115">
        <v>234</v>
      </c>
      <c r="N6" s="116">
        <v>504167</v>
      </c>
      <c r="O6" s="121">
        <f>'Pt 1 Summary of Data'!Q12+'Pt 1 Summary of Data'!Q22</f>
        <v>980318</v>
      </c>
      <c r="P6" s="121">
        <f>SUM(M6:O6)</f>
        <v>1484719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86</v>
      </c>
      <c r="N7" s="116">
        <v>4568</v>
      </c>
      <c r="O7" s="121">
        <f>SUM('Pt 1 Summary of Data'!Q37:Q41)+MAX(0,MIN('Pt 1 Summary of Data'!Q42,0.3%*('Pt 1 Summary of Data'!Q5)))</f>
        <v>2374</v>
      </c>
      <c r="P7" s="121">
        <f>SUM(M7:O7)</f>
        <v>7028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-5</v>
      </c>
      <c r="K12" s="121">
        <f>IFERROR(SUM(H$12:J$12)+H$17*MAX(0,J$49-H$49)+I$17*MAX(0,J$49-I$49),0)</f>
        <v>-5</v>
      </c>
      <c r="L12" s="317"/>
      <c r="M12" s="120">
        <f>SUM(M$6:M$7)</f>
        <v>320</v>
      </c>
      <c r="N12" s="121">
        <f>SUM(N$6:N$7)</f>
        <v>508735</v>
      </c>
      <c r="O12" s="121">
        <f>SUM(O$6:O$7)</f>
        <v>982692</v>
      </c>
      <c r="P12" s="121">
        <f>SUM(M$12:O$12)+M$17*MAX(0,O$49-M$49)+N$17*MAX(0,O$49-N$49)</f>
        <v>1491747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849643</v>
      </c>
      <c r="O15" s="112">
        <f>SUM('Pt 1 Summary of Data'!Q5:Q7)+N55</f>
        <v>1377986</v>
      </c>
      <c r="P15" s="112">
        <f>SUM(M15:O15)</f>
        <v>2227629</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2</v>
      </c>
      <c r="K16" s="121">
        <f>SUM(H16:J16)</f>
        <v>2</v>
      </c>
      <c r="L16" s="122">
        <f>'Pt 1 Summary of Data'!O25+'Pt 1 Summary of Data'!O26+'Pt 1 Summary of Data'!O27+'Pt 1 Summary of Data'!O28+'Pt 1 Summary of Data'!O30+'Pt 1 Summary of Data'!O31+'Pt 1 Summary of Data'!O34+'Pt 1 Summary of Data'!O35</f>
        <v>0</v>
      </c>
      <c r="M16" s="115">
        <v>-78</v>
      </c>
      <c r="N16" s="116">
        <v>96129</v>
      </c>
      <c r="O16" s="121">
        <f>'Pt 1 Summary of Data'!Q25+'Pt 1 Summary of Data'!Q26+'Pt 1 Summary of Data'!Q27+'Pt 1 Summary of Data'!Q28+'Pt 1 Summary of Data'!Q30+'Pt 1 Summary of Data'!Q31+'Pt 1 Summary of Data'!Q34+'Pt 1 Summary of Data'!Q35+'Pt 3 MLR and Rebate Calculation'!N56</f>
        <v>147325</v>
      </c>
      <c r="P16" s="121">
        <f>SUM(M16:O16)</f>
        <v>243376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-2</v>
      </c>
      <c r="K17" s="121">
        <f>K$15-K$16+IF(AND(OR('Company Information'!$C$12="District of Columbia",'Company Information'!$C$12="Massachusetts",'Company Information'!$C$12="Vermont"),SUM($H$6:$K$11,$H$15:$K$16,$H$37:$I$37)&lt;&gt;0),F$15-F$16,0)</f>
        <v>-2</v>
      </c>
      <c r="L17" s="320"/>
      <c r="M17" s="120">
        <f>M$15-M$16</f>
        <v>78</v>
      </c>
      <c r="N17" s="121">
        <f>N$15-N$16</f>
        <v>753514</v>
      </c>
      <c r="O17" s="121">
        <f>O$15-O$16</f>
        <v>1230661</v>
      </c>
      <c r="P17" s="121">
        <f>P$15-P$16</f>
        <v>1984253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188</v>
      </c>
      <c r="O37" s="262">
        <f>'Pt 1 Summary of Data'!Q60</f>
        <v>262.08333333333331</v>
      </c>
      <c r="P37" s="262">
        <f>SUM(M37:O37)</f>
        <v>450.08333333333331</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93</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