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P37" i="10"/>
  <c r="L20" i="10"/>
  <c r="T15" i="10"/>
  <c r="P6" i="10"/>
  <c r="F37" i="10"/>
  <c r="J6" i="10"/>
  <c r="L29" i="10"/>
  <c r="L25" i="10"/>
  <c r="L21" i="10"/>
  <c r="L28" i="10"/>
  <c r="G29" i="10"/>
  <c r="K15" i="10"/>
  <c r="K37" i="10"/>
  <c r="C12" i="10"/>
  <c r="F6" i="10"/>
  <c r="C17" i="10" s="1"/>
  <c r="S6" i="10"/>
  <c r="AA6" i="10"/>
  <c r="T37" i="10"/>
  <c r="X37" i="10"/>
  <c r="X6" i="10"/>
  <c r="F15" i="10"/>
  <c r="AB37" i="10"/>
  <c r="J7" i="10"/>
  <c r="K7" i="10" s="1"/>
  <c r="M44" i="10"/>
  <c r="S7" i="10"/>
  <c r="T7" i="10" s="1"/>
  <c r="Z45" i="10"/>
  <c r="AA15" i="10"/>
  <c r="E7" i="10"/>
  <c r="F7" i="10" s="1"/>
  <c r="L19" i="10"/>
  <c r="L24" i="10" s="1"/>
  <c r="L23" i="10" s="1"/>
  <c r="O7" i="10"/>
  <c r="P7" i="10" s="1"/>
  <c r="W15" i="10"/>
  <c r="G7" i="10"/>
  <c r="G21" i="10" s="1"/>
  <c r="U13" i="10" l="1"/>
  <c r="C44" i="10"/>
  <c r="AB41" i="10"/>
  <c r="AB51" i="10"/>
  <c r="AB52" i="10" s="1"/>
  <c r="H11" i="16" s="1"/>
  <c r="AB46" i="10"/>
  <c r="AB38" i="10"/>
  <c r="AA13" i="10"/>
  <c r="AB6" i="10"/>
  <c r="AB13" i="10" s="1"/>
  <c r="E17" i="10"/>
  <c r="E44" i="10" s="1"/>
  <c r="X41" i="10"/>
  <c r="X51" i="10"/>
  <c r="X52" i="10" s="1"/>
  <c r="G11" i="16" s="1"/>
  <c r="X46" i="10"/>
  <c r="X38" i="10"/>
  <c r="D17" i="10"/>
  <c r="D44" i="10" s="1"/>
  <c r="G28" i="10"/>
  <c r="G20" i="10"/>
  <c r="D12" i="10"/>
  <c r="G25" i="10"/>
  <c r="F51" i="10"/>
  <c r="F52" i="10" s="1"/>
  <c r="C11" i="16" s="1"/>
  <c r="F46" i="10"/>
  <c r="F38" i="10"/>
  <c r="F41" i="10"/>
  <c r="P51" i="10"/>
  <c r="T51" i="10"/>
  <c r="T52" i="10" s="1"/>
  <c r="F11" i="16" s="1"/>
  <c r="T46" i="10"/>
  <c r="T38" i="10"/>
  <c r="T41" i="10"/>
  <c r="T6" i="10"/>
  <c r="S17" i="10" s="1"/>
  <c r="S45" i="10" s="1"/>
  <c r="Q17" i="10"/>
  <c r="S13" i="10"/>
  <c r="R17" i="10"/>
  <c r="R45" i="10" s="1"/>
  <c r="Q13" i="10"/>
  <c r="R13" i="10"/>
  <c r="K51" i="10"/>
  <c r="K52" i="10" s="1"/>
  <c r="D11" i="16" s="1"/>
  <c r="K46" i="10"/>
  <c r="K41" i="10"/>
  <c r="L27" i="10"/>
  <c r="X15" i="10"/>
  <c r="W17" i="10" s="1"/>
  <c r="W45" i="10" s="1"/>
  <c r="AA17" i="10"/>
  <c r="AA45" i="10" s="1"/>
  <c r="AB15" i="10"/>
  <c r="AB17" i="10" s="1"/>
  <c r="AB45" i="10" s="1"/>
  <c r="AB47" i="10" s="1"/>
  <c r="AB50" i="10" s="1"/>
  <c r="F17" i="10"/>
  <c r="F44" i="10" s="1"/>
  <c r="F47" i="10" s="1"/>
  <c r="F50" i="10" s="1"/>
  <c r="U17" i="10"/>
  <c r="G19" i="10"/>
  <c r="G24" i="10" s="1"/>
  <c r="G23" i="10" s="1"/>
  <c r="E12" i="10"/>
  <c r="K6" i="10"/>
  <c r="J17" i="10" s="1"/>
  <c r="J44" i="10" s="1"/>
  <c r="I17" i="10"/>
  <c r="I44" i="10" s="1"/>
  <c r="O12" i="10"/>
  <c r="P12" i="10" l="1"/>
  <c r="P44" i="10" s="1"/>
  <c r="O44" i="10"/>
  <c r="P38" i="10" s="1"/>
  <c r="P41" i="10" s="1"/>
  <c r="P46" i="10" s="1"/>
  <c r="U45" i="10"/>
  <c r="G27" i="10"/>
  <c r="H12" i="10"/>
  <c r="J12" i="10"/>
  <c r="T17" i="10"/>
  <c r="T45" i="10" s="1"/>
  <c r="T47" i="10" s="1"/>
  <c r="T50" i="10" s="1"/>
  <c r="K17" i="10"/>
  <c r="K44" i="10" s="1"/>
  <c r="K47" i="10" s="1"/>
  <c r="K50" i="10" s="1"/>
  <c r="F12" i="10"/>
  <c r="L31" i="10"/>
  <c r="L32" i="10" s="1"/>
  <c r="L33" i="10" s="1"/>
  <c r="L26" i="10"/>
  <c r="L30" i="10" s="1"/>
  <c r="I12" i="10"/>
  <c r="H17" i="10"/>
  <c r="X17" i="10"/>
  <c r="X45" i="10" s="1"/>
  <c r="X47" i="10" s="1"/>
  <c r="X50" i="10" s="1"/>
  <c r="W13" i="10"/>
  <c r="V13" i="10"/>
  <c r="V17" i="10"/>
  <c r="V45" i="10" s="1"/>
  <c r="Q45" i="10"/>
  <c r="T13" i="10"/>
  <c r="H44" i="10" l="1"/>
  <c r="K38" i="10" s="1"/>
  <c r="K12" i="10"/>
  <c r="G26" i="10"/>
  <c r="G30" i="10" s="1"/>
  <c r="G31" i="10"/>
  <c r="G32" i="10" s="1"/>
  <c r="G33" i="10" s="1"/>
  <c r="X13" i="10"/>
  <c r="P47" i="10"/>
  <c r="P50" i="10" s="1"/>
  <c r="P52" i="10" s="1"/>
  <c r="E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<sst xmlns="http://schemas.openxmlformats.org/spreadsheetml/2006/main" count="568" uniqueCount="506">
  <si>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</si>
  <si>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</si>
  <si>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</si>
  <si>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</si>
  <si>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</si>
  <si>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</si>
  <si>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</si>
  <si>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</si>
  <si>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</si>
  <si>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</si>
  <si>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</si>
  <si>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</si>
  <si>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</si>
  <si>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</si>
  <si>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</si>
  <si>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</si>
  <si>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</si>
  <si>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</si>
  <si>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</si>
  <si>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</si>
  <si>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</si>
  <si>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</si>
  <si>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</si>
  <si>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</si>
  <si>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</si>
  <si>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</si>
  <si>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</si>
  <si>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</si>
  <si>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</si>
  <si>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</si>
  <si>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</si>
  <si>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</si>
  <si>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</si>
  <si>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</si>
  <si>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</si>
  <si>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</si>
  <si>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</si>
  <si>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</si>
  <si>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</si>
  <si>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</si>
  <si>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</si>
  <si>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</si>
  <si>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</si>
  <si>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</si>
  <si>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</si>
  <si>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</si>
  <si>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</si>
  <si>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</si>
  <si>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</si>
  <si>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</si>
  <si>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</si>
  <si>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</si>
  <si>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</si>
  <si>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</si>
  <si>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</si>
  <si>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</si>
  <si>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</si>
  <si>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</si>
  <si>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</si>
  <si>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</si>
  <si>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</si>
  <si>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</si>
  <si>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</si>
  <si>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</si>
  <si>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</si>
  <si>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</si>
  <si>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</si>
  <si>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</si>
  <si>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</si>
  <si>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</si>
  <si>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</si>
  <si>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</si>
  <si>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</si>
  <si>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</si>
  <si>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</si>
  <si>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</si>
  <si>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</si>
  <si>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</si>
  <si>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</si>
  <si>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</si>
  <si>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</si>
  <si>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</si>
  <si>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</si>
  <si>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</si>
  <si>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</si>
  <si>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</si>
  <si>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</si>
  <si>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</si>
  <si>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</si>
  <si>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</si>
  <si>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</si>
  <si>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</si>
  <si>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</si>
  <si>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</si>
  <si>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</si>
  <si>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</si>
  <si>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</si>
  <si>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</si>
  <si>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</si>
  <si>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</si>
  <si>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</si>
  <si>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</si>
  <si>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</si>
  <si>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</si>
  <si>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</si>
  <si>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</si>
  <si>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</si>
  <si>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</si>
  <si>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</si>
  <si>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</si>
  <si>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</si>
  <si>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</si>
  <si>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</si>
  <si>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</si>
  <si>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</si>
  <si>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</si>
  <si>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</si>
  <si>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</si>
  <si>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</si>
  <si>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</si>
  <si>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</si>
  <si>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</si>
  <si>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</si>
  <si>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</si>
  <si>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</si>
  <si>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</si>
  <si>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</si>
  <si>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</si>
  <si>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</si>
  <si>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</si>
  <si>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</si>
  <si>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</si>
  <si>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</si>
  <si>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</si>
  <si>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</si>
  <si>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</si>
  <si>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</si>
  <si>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</si>
  <si>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</si>
  <si>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</si>
  <si>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</si>
  <si>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</si>
  <si>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</si>
  <si>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</si>
  <si>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</si>
  <si>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</si>
  <si>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</si>
  <si>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</si>
  <si>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</si>
  <si>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</si>
  <si>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</si>
  <si>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</si>
  <si>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</si>
  <si>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</si>
  <si>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</si>
  <si>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</si>
  <si>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</si>
  <si>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</si>
  <si>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</si>
  <si>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</si>
  <si>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</si>
  <si>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</si>
  <si>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</si>
  <si>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</si>
  <si>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</si>
  <si>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</si>
  <si>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</si>
  <si>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</si>
  <si>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</si>
  <si>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</si>
  <si>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</si>
  <si>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</si>
  <si>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</si>
  <si>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</si>
  <si>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</si>
  <si>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</si>
  <si>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</si>
  <si>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</si>
  <si>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</si>
  <si>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</si>
  <si>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</si>
  <si>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</si>
  <si>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</si>
  <si>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</si>
  <si>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</si>
  <si>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</si>
  <si>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</si>
  <si>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</si>
  <si>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</si>
  <si>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</si>
  <si>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</si>
  <si>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</si>
  <si>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</si>
  <si>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</si>
  <si>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</si>
  <si>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</si>
  <si>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</si>
  <si>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</si>
  <si>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</si>
  <si>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</si>
  <si>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</si>
  <si>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</si>
  <si>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</si>
  <si>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</si>
  <si>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</si>
  <si>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</si>
  <si>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</si>
  <si>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</si>
  <si>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</si>
  <si>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</si>
  <si>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</si>
  <si>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</si>
  <si>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</si>
  <si>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</si>
  <si>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</si>
  <si>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</si>
  <si>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</si>
  <si>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</si>
  <si>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</si>
  <si>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</si>
  <si>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</si>
  <si>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</si>
  <si>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</si>
  <si>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</si>
  <si>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</si>
  <si>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</si>
  <si>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</si>
  <si>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</si>
  <si>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</si>
  <si>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</si>
  <si>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</si>
  <si>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</si>
  <si>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</si>
  <si>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</si>
  <si>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</si>
  <si>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</si>
  <si>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</si>
  <si>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</si>
  <si>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</si>
  <si>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</si>
  <si>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</si>
  <si>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</si>
  <si>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</si>
  <si>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</si>
  <si>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</si>
  <si>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</si>
  <si>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</si>
  <si>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</si>
  <si>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</si>
  <si>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</si>
  <si>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</si>
  <si>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</si>
  <si>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</si>
  <si>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</si>
  <si>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</si>
  <si>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</si>
  <si>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</si>
  <si>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</si>
  <si>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</si>
  <si>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</si>
  <si>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</si>
  <si>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</si>
  <si>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</si>
  <si>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</si>
  <si>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</si>
  <si>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</si>
  <si>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</si>
  <si>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</si>
  <si>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</si>
  <si>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</si>
  <si>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</si>
  <si>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</si>
  <si>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</si>
  <si>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</si>
  <si>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</si>
  <si>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</si>
  <si>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</si>
  <si>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</si>
  <si>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</si>
  <si>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</si>
  <si>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</si>
  <si>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</si>
  <si>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</si>
  <si>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</si>
  <si>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</si>
  <si>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</si>
  <si>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</si>
  <si>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</si>
  <si>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</si>
  <si>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</si>
  <si>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</si>
  <si>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</si>
  <si>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</si>
  <si>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</si>
  <si>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</si>
  <si>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</si>
  <si>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</si>
  <si>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</si>
  <si>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</si>
  <si>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</si>
  <si>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</si>
  <si>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</si>
  <si>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</si>
  <si>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</si>
  <si>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</si>
  <si>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</si>
  <si>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</si>
  <si>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</si>
  <si>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</si>
  <si>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</si>
  <si>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</si>
  <si>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</si>
  <si>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</si>
  <si>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</si>
  <si>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</si>
  <si>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</si>
  <si>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</si>
  <si>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</si>
  <si>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</si>
  <si>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</si>
  <si>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</si>
  <si>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</si>
  <si>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</si>
  <si>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</si>
  <si>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</si>
  <si>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</si>
  <si>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</si>
  <si>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</si>
  <si>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</si>
  <si>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</si>
  <si>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</si>
  <si>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</si>
  <si>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</si>
  <si>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</si>
  <si>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</si>
  <si>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</si>
  <si>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</si>
  <si>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</si>
  <si>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</si>
  <si>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</si>
  <si>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</si>
  <si>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</si>
  <si>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</si>
  <si>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</si>
  <si>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</si>
  <si>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</si>
  <si>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</si>
  <si>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</si>
  <si>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</si>
  <si>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</si>
  <si>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</si>
  <si>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</si>
  <si>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</si>
  <si>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</si>
  <si>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</si>
  <si>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</si>
  <si>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</si>
  <si>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</si>
  <si>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</si>
  <si>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</si>
  <si>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</si>
  <si>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</si>
  <si>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</si>
  <si>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</si>
  <si>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</si>
  <si>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</si>
  <si>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</si>
  <si>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</si>
  <si>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</si>
  <si>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</si>
  <si>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</si>
  <si>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</si>
  <si>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</si>
  <si>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</si>
  <si>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</si>
  <si>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</si>
  <si>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</si>
  <si>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</si>
  <si>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</si>
  <si>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</si>
  <si>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</si>
  <si>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</si>
  <si>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</si>
  <si>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</si>
  <si>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</si>
  <si>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</si>
  <si>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</si>
  <si>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</si>
  <si>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</si>
  <si>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</si>
  <si>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</si>
  <si>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</si>
  <si>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</si>
  <si>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</si>
  <si>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</si>
  <si>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</si>
  <si>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</si>
  <si>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</si>
  <si>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</si>
  <si>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</si>
  <si>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</si>
  <si>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</si>
  <si>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</si>
  <si>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</si>
  <si>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</si>
  <si>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</si>
  <si>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</si>
  <si>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</si>
  <si>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</si>
  <si>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</si>
  <si>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</si>
  <si>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</si>
  <si>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</si>
  <si>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</si>
  <si>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</si>
  <si>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</si>
  <si>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</si>
  <si>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</si>
  <si>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</si>
  <si>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</si>
  <si>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</si>
  <si>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</si>
  <si>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</si>
  <si>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</si>
  <si>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</si>
  <si>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</si>
  <si>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</si>
  <si>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</si>
  <si>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</si>
  <si>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</si>
  <si>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</si>
  <si>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</si>
  <si>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</si>
  <si>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</si>
  <si>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</si>
  <si>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</si>
  <si>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</si>
  <si>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</si>
  <si>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</si>
  <si>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</si>
  <si>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</si>
  <si>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</si>
  <si>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</si>
  <si>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</si>
  <si>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</si>
  <si>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</si>
  <si>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</si>
  <si>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</si>
  <si>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</si>
  <si>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</si>
  <si>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</si>
  <si>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</si>
  <si>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</si>
  <si>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</si>
  <si>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</si>
  <si>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</si>
  <si>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</si>
  <si>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</si>
  <si>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</si>
  <si>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</si>
  <si>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</si>
  <si>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</si>
  <si>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</si>
  <si>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</si>
  <si>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</si>
  <si>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</si>
  <si>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</si>
  <si>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</si>
  <si>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</si>
  <si>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</si>
  <si>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</si>
  <si>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</si>
  <si>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</si>
  <si>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</si>
  <si>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</si>
  <si>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</si>
  <si>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</si>
  <si>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</si>
  <si>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</si>
  <si>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</si>
  <si>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</si>
  <si>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</si>
  <si>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</si>
  <si>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</si>
  <si>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</si>
  <si>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</si>
  <si>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</si>
  <si>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</si>
  <si>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</si>
  <si>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</si>
  <si>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</si>
  <si>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</si>
  <si>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</si>
  <si>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</si>
  <si>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</si>
  <si>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</si>
  <si>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</si>
  <si>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</si>
  <si>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</si>
  <si>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</si>
  <si>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</si>
  <si>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</si>
  <si>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</si>
  <si>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94245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</si>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</sst>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1460</v>
      </c>
      <c r="E5" s="112">
        <f>'Pt 2 Premium and Claims'!E5+'Pt 2 Premium and Claims'!E6-'Pt 2 Premium and Claims'!E7-'Pt 2 Premium and Claims'!E13+'Pt 2 Premium and Claims'!E14+'Pt 2 Premium and Claims'!E15+'Pt 2 Premium and Claims'!E16+'Pt 2 Premium and Claims'!E17</f>
        <v>1464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4706739</v>
      </c>
      <c r="Q5" s="112">
        <f>'Pt 2 Premium and Claims'!Q5+'Pt 2 Premium and Claims'!Q6-'Pt 2 Premium and Claims'!Q7-'Pt 2 Premium and Claims'!Q13+'Pt 2 Premium and Claims'!Q14</f>
        <v>4710045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15295944</v>
      </c>
      <c r="AT5" s="113">
        <f>'Pt 2 Premium and Claims'!AT5+'Pt 2 Premium and Claims'!AT6-'Pt 2 Premium and Claims'!AT7-'Pt 2 Premium and Claims'!AT13+'Pt 2 Premium and Claims'!AT14</f>
        <v>5566756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v>
      </c>
      <c r="E7" s="116">
        <f>D7</f>
        <v>-2</v>
      </c>
      <c r="F7" s="116"/>
      <c r="G7" s="116"/>
      <c r="H7" s="116"/>
      <c r="I7" s="115">
        <v>0</v>
      </c>
      <c r="J7" s="115">
        <v>0</v>
      </c>
      <c r="K7" s="116">
        <f>J7</f>
        <v>0</v>
      </c>
      <c r="L7" s="116"/>
      <c r="M7" s="116"/>
      <c r="N7" s="116"/>
      <c r="O7" s="115">
        <v>0</v>
      </c>
      <c r="P7" s="115">
        <v>-5556</v>
      </c>
      <c r="Q7" s="116">
        <f>P7</f>
        <v>-5556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-6152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8665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-61197</v>
      </c>
      <c r="E12" s="112">
        <f>'Pt 2 Premium and Claims'!E54</f>
        <v>-58375</v>
      </c>
      <c r="F12" s="112"/>
      <c r="G12" s="112"/>
      <c r="H12" s="112"/>
      <c r="I12" s="111">
        <f>'Pt 2 Premium and Claims'!I54</f>
        <v>0</v>
      </c>
      <c r="J12" s="111">
        <f>'Pt 2 Premium and Claims'!J54</f>
        <v>-9</v>
      </c>
      <c r="K12" s="112">
        <f>'Pt 2 Premium and Claims'!K54</f>
        <v>-9</v>
      </c>
      <c r="L12" s="112"/>
      <c r="M12" s="112"/>
      <c r="N12" s="112"/>
      <c r="O12" s="111">
        <f>'Pt 2 Premium and Claims'!O54</f>
        <v>0</v>
      </c>
      <c r="P12" s="111">
        <f>'Pt 2 Premium and Claims'!P54</f>
        <v>4642977</v>
      </c>
      <c r="Q12" s="112">
        <f>'Pt 2 Premium and Claims'!Q54</f>
        <v>4639268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12631830</v>
      </c>
      <c r="AT12" s="113">
        <f>'Pt 2 Premium and Claims'!AT54</f>
        <v>3025452</v>
      </c>
      <c r="AU12" s="113">
        <f>'Pt 2 Premium and Claims'!AU54</f>
        <v>0</v>
      </c>
      <c r="AV12" s="318"/>
      <c r="AW12" s="323"/>
    </row>
    <row r="13" spans="1:49" ht="25.5" x14ac:dyDescent="0.2">
      <c r="B13" s="161" t="s">
        <v>230</v>
      </c>
      <c r="C13" s="68" t="s">
        <v>37</v>
      </c>
      <c r="D13" s="115">
        <v>20</v>
      </c>
      <c r="E13" s="116">
        <v>17</v>
      </c>
      <c r="F13" s="116"/>
      <c r="G13" s="295"/>
      <c r="H13" s="296"/>
      <c r="I13" s="115">
        <v>0</v>
      </c>
      <c r="J13" s="115">
        <v>0</v>
      </c>
      <c r="K13" s="116">
        <v>0</v>
      </c>
      <c r="L13" s="116"/>
      <c r="M13" s="295"/>
      <c r="N13" s="296"/>
      <c r="O13" s="115">
        <v>0</v>
      </c>
      <c r="P13" s="115">
        <v>193493</v>
      </c>
      <c r="Q13" s="116">
        <v>192735</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17164096</v>
      </c>
      <c r="AT13" s="119">
        <v>0</v>
      </c>
      <c r="AU13" s="119">
        <v>0</v>
      </c>
      <c r="AV13" s="317"/>
      <c r="AW13" s="324"/>
    </row>
    <row r="14" spans="1:49" ht="25.5" x14ac:dyDescent="0.2">
      <c r="B14" s="161" t="s">
        <v>231</v>
      </c>
      <c r="C14" s="68" t="s">
        <v>6</v>
      </c>
      <c r="D14" s="115">
        <v>0</v>
      </c>
      <c r="E14" s="116">
        <v>68</v>
      </c>
      <c r="F14" s="116"/>
      <c r="G14" s="294"/>
      <c r="H14" s="297"/>
      <c r="I14" s="115">
        <v>0</v>
      </c>
      <c r="J14" s="115">
        <v>0</v>
      </c>
      <c r="K14" s="116">
        <v>0</v>
      </c>
      <c r="L14" s="116"/>
      <c r="M14" s="294"/>
      <c r="N14" s="297"/>
      <c r="O14" s="115">
        <v>0</v>
      </c>
      <c r="P14" s="115">
        <v>78083</v>
      </c>
      <c r="Q14" s="116">
        <v>64900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5194678</v>
      </c>
      <c r="AT14" s="119">
        <v>2978</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7194</v>
      </c>
      <c r="Q15" s="116">
        <v>7683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-196</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-592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254834</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21779</v>
      </c>
      <c r="E25" s="116">
        <f>D25</f>
        <v>21779</v>
      </c>
      <c r="F25" s="116"/>
      <c r="G25" s="116"/>
      <c r="H25" s="116"/>
      <c r="I25" s="115">
        <v>0</v>
      </c>
      <c r="J25" s="115">
        <v>3</v>
      </c>
      <c r="K25" s="116">
        <f>J25</f>
        <v>3</v>
      </c>
      <c r="L25" s="116"/>
      <c r="M25" s="116"/>
      <c r="N25" s="116"/>
      <c r="O25" s="115">
        <v>0</v>
      </c>
      <c r="P25" s="115">
        <v>-451663</v>
      </c>
      <c r="Q25" s="116">
        <f>P25</f>
        <v>-451663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464709</v>
      </c>
      <c r="AT25" s="119">
        <v>653144</v>
      </c>
      <c r="AU25" s="119">
        <v>0</v>
      </c>
      <c r="AV25" s="119">
        <v>-376620</v>
      </c>
      <c r="AW25" s="324"/>
    </row>
    <row r="26" spans="1:49" s="11" customFormat="1" x14ac:dyDescent="0.2">
      <c r="A26" s="41"/>
      <c r="B26" s="164" t="s">
        <v>243</v>
      </c>
      <c r="C26" s="68"/>
      <c r="D26" s="115">
        <v>4</v>
      </c>
      <c r="E26" s="116">
        <f>D26</f>
        <v>4</v>
      </c>
      <c r="F26" s="116"/>
      <c r="G26" s="116"/>
      <c r="H26" s="116"/>
      <c r="I26" s="115">
        <v>0</v>
      </c>
      <c r="J26" s="115">
        <v>0</v>
      </c>
      <c r="K26" s="116">
        <f>J26</f>
        <v>0</v>
      </c>
      <c r="L26" s="116"/>
      <c r="M26" s="116"/>
      <c r="N26" s="116"/>
      <c r="O26" s="115">
        <v>0</v>
      </c>
      <c r="P26" s="115">
        <v>4620</v>
      </c>
      <c r="Q26" s="116">
        <f>P26</f>
        <v>4620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44</v>
      </c>
      <c r="E27" s="116">
        <f>D27</f>
        <v>44</v>
      </c>
      <c r="F27" s="116"/>
      <c r="G27" s="116"/>
      <c r="H27" s="116"/>
      <c r="I27" s="115">
        <v>0</v>
      </c>
      <c r="J27" s="115">
        <v>0</v>
      </c>
      <c r="K27" s="116">
        <f>J27</f>
        <v>0</v>
      </c>
      <c r="L27" s="116"/>
      <c r="M27" s="116"/>
      <c r="N27" s="116"/>
      <c r="O27" s="115">
        <v>0</v>
      </c>
      <c r="P27" s="115">
        <v>88766</v>
      </c>
      <c r="Q27" s="116">
        <f>P27</f>
        <v>88766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254765</v>
      </c>
      <c r="AT27" s="119">
        <v>45354</v>
      </c>
      <c r="AU27" s="119">
        <v>0</v>
      </c>
      <c r="AV27" s="320"/>
      <c r="AW27" s="324"/>
    </row>
    <row r="28" spans="1:49" s="11" customFormat="1" x14ac:dyDescent="0.2">
      <c r="A28" s="41"/>
      <c r="B28" s="164" t="s">
        <v>245</v>
      </c>
      <c r="C28" s="68"/>
      <c r="D28" s="115">
        <v>8</v>
      </c>
      <c r="E28" s="116">
        <f>D28</f>
        <v>8</v>
      </c>
      <c r="F28" s="116"/>
      <c r="G28" s="116"/>
      <c r="H28" s="116"/>
      <c r="I28" s="115">
        <v>0</v>
      </c>
      <c r="J28" s="115">
        <v>0</v>
      </c>
      <c r="K28" s="116">
        <f>J28</f>
        <v>0</v>
      </c>
      <c r="L28" s="116"/>
      <c r="M28" s="116"/>
      <c r="N28" s="116"/>
      <c r="O28" s="115">
        <v>0</v>
      </c>
      <c r="P28" s="115">
        <v>15703</v>
      </c>
      <c r="Q28" s="116">
        <f>P28</f>
        <v>15703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13571</v>
      </c>
      <c r="AT28" s="119">
        <v>8168</v>
      </c>
      <c r="AU28" s="119">
        <v>0</v>
      </c>
      <c r="AV28" s="119">
        <v>161376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v>
      </c>
      <c r="E30" s="116">
        <f>D30</f>
        <v>5</v>
      </c>
      <c r="F30" s="116"/>
      <c r="G30" s="116"/>
      <c r="H30" s="116"/>
      <c r="I30" s="115">
        <v>0</v>
      </c>
      <c r="J30" s="115">
        <v>0</v>
      </c>
      <c r="K30" s="116">
        <f>J30</f>
        <v>0</v>
      </c>
      <c r="L30" s="116"/>
      <c r="M30" s="116"/>
      <c r="N30" s="116"/>
      <c r="O30" s="115">
        <v>0</v>
      </c>
      <c r="P30" s="115">
        <v>14853</v>
      </c>
      <c r="Q30" s="116">
        <f>P30</f>
        <v>14853</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16944</v>
      </c>
      <c r="AU30" s="119">
        <v>0</v>
      </c>
      <c r="AV30" s="119">
        <v>5021</v>
      </c>
      <c r="AW30" s="324"/>
    </row>
    <row r="31" spans="1:49" x14ac:dyDescent="0.2">
      <c r="B31" s="164" t="s">
        <v>248</v>
      </c>
      <c r="C31" s="68"/>
      <c r="D31" s="115">
        <v>26</v>
      </c>
      <c r="E31" s="116">
        <f>D31</f>
        <v>26</v>
      </c>
      <c r="F31" s="116"/>
      <c r="G31" s="116"/>
      <c r="H31" s="116"/>
      <c r="I31" s="115">
        <v>0</v>
      </c>
      <c r="J31" s="115">
        <v>0</v>
      </c>
      <c r="K31" s="116">
        <f>J31</f>
        <v>0</v>
      </c>
      <c r="L31" s="116"/>
      <c r="M31" s="116"/>
      <c r="N31" s="116"/>
      <c r="O31" s="115">
        <v>0</v>
      </c>
      <c r="P31" s="115">
        <v>83027</v>
      </c>
      <c r="Q31" s="116">
        <f>P31</f>
        <v>83027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96662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136513</v>
      </c>
      <c r="Q34" s="116">
        <f>P34</f>
        <v>136513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v>
      </c>
      <c r="E35" s="116">
        <f>D35</f>
        <v>4</v>
      </c>
      <c r="F35" s="116"/>
      <c r="G35" s="116"/>
      <c r="H35" s="116"/>
      <c r="I35" s="115">
        <v>0</v>
      </c>
      <c r="J35" s="115">
        <v>0</v>
      </c>
      <c r="K35" s="116">
        <f>J35</f>
        <v>0</v>
      </c>
      <c r="L35" s="116"/>
      <c r="M35" s="116"/>
      <c r="N35" s="116"/>
      <c r="O35" s="115">
        <v>0</v>
      </c>
      <c r="P35" s="115">
        <v>8206</v>
      </c>
      <c r="Q35" s="116">
        <f>P35</f>
        <v>8206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2</v>
      </c>
      <c r="AT35" s="119">
        <v>1022</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2</v>
      </c>
      <c r="F37" s="124"/>
      <c r="G37" s="124"/>
      <c r="H37" s="124"/>
      <c r="I37" s="123">
        <v>0</v>
      </c>
      <c r="J37" s="123">
        <v>0</v>
      </c>
      <c r="K37" s="124">
        <v>0</v>
      </c>
      <c r="L37" s="124"/>
      <c r="M37" s="124"/>
      <c r="N37" s="124"/>
      <c r="O37" s="123">
        <v>0</v>
      </c>
      <c r="P37" s="123">
        <v>2530</v>
      </c>
      <c r="Q37" s="124">
        <v>2554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340559</v>
      </c>
      <c r="AT37" s="125">
        <v>174</v>
      </c>
      <c r="AU37" s="125">
        <v>0</v>
      </c>
      <c r="AV37" s="125">
        <v>196850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134</v>
      </c>
      <c r="Q38" s="116">
        <v>147</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28</v>
      </c>
      <c r="AU38" s="119">
        <v>0</v>
      </c>
      <c r="AV38" s="119">
        <v>15974</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5007</v>
      </c>
      <c r="Q39" s="116">
        <v>5154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122</v>
      </c>
      <c r="AU39" s="119">
        <v>0</v>
      </c>
      <c r="AV39" s="119">
        <v>5572</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643</v>
      </c>
      <c r="Q40" s="116">
        <v>644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138</v>
      </c>
      <c r="AU40" s="119">
        <v>0</v>
      </c>
      <c r="AV40" s="119">
        <v>33490</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2257</v>
      </c>
      <c r="Q41" s="116">
        <v>2257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541</v>
      </c>
      <c r="AU41" s="119">
        <v>0</v>
      </c>
      <c r="AV41" s="119">
        <v>78298</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711</v>
      </c>
      <c r="Q42" s="116">
        <f>P42</f>
        <v>711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6</v>
      </c>
      <c r="AU42" s="119">
        <v>0</v>
      </c>
      <c r="AV42" s="119">
        <v>13581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294</v>
      </c>
      <c r="E44" s="124">
        <v>278</v>
      </c>
      <c r="F44" s="124"/>
      <c r="G44" s="124"/>
      <c r="H44" s="124"/>
      <c r="I44" s="123">
        <v>0</v>
      </c>
      <c r="J44" s="123">
        <v>0</v>
      </c>
      <c r="K44" s="124">
        <v>0</v>
      </c>
      <c r="L44" s="124"/>
      <c r="M44" s="124"/>
      <c r="N44" s="124"/>
      <c r="O44" s="123">
        <v>0</v>
      </c>
      <c r="P44" s="123">
        <v>75098</v>
      </c>
      <c r="Q44" s="124">
        <v>78146</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3366</v>
      </c>
      <c r="AU44" s="125">
        <v>0</v>
      </c>
      <c r="AV44" s="125">
        <v>801132</v>
      </c>
      <c r="AW44" s="323"/>
    </row>
    <row r="45" spans="1:49" x14ac:dyDescent="0.2">
      <c r="B45" s="167" t="s">
        <v>262</v>
      </c>
      <c r="C45" s="68" t="s">
        <v>19</v>
      </c>
      <c r="D45" s="115">
        <v>8</v>
      </c>
      <c r="E45" s="116">
        <f>D45</f>
        <v>8</v>
      </c>
      <c r="F45" s="116"/>
      <c r="G45" s="116"/>
      <c r="H45" s="116"/>
      <c r="I45" s="115">
        <v>0</v>
      </c>
      <c r="J45" s="115">
        <v>0</v>
      </c>
      <c r="K45" s="116">
        <f>J45</f>
        <v>0</v>
      </c>
      <c r="L45" s="116"/>
      <c r="M45" s="116"/>
      <c r="N45" s="116"/>
      <c r="O45" s="115">
        <v>0</v>
      </c>
      <c r="P45" s="115">
        <v>2159</v>
      </c>
      <c r="Q45" s="116">
        <f>P45</f>
        <v>2159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687</v>
      </c>
      <c r="AT45" s="119">
        <v>162</v>
      </c>
      <c r="AU45" s="119">
        <v>0</v>
      </c>
      <c r="AV45" s="119">
        <v>1212</v>
      </c>
      <c r="AW45" s="324"/>
    </row>
    <row r="46" spans="1:49" x14ac:dyDescent="0.2">
      <c r="B46" s="167" t="s">
        <v>263</v>
      </c>
      <c r="C46" s="68" t="s">
        <v>20</v>
      </c>
      <c r="D46" s="115">
        <v>81</v>
      </c>
      <c r="E46" s="116">
        <f>D46</f>
        <v>81</v>
      </c>
      <c r="F46" s="116"/>
      <c r="G46" s="116"/>
      <c r="H46" s="116"/>
      <c r="I46" s="115">
        <v>0</v>
      </c>
      <c r="J46" s="115">
        <v>0</v>
      </c>
      <c r="K46" s="116">
        <f>J46</f>
        <v>0</v>
      </c>
      <c r="L46" s="116"/>
      <c r="M46" s="116"/>
      <c r="N46" s="116"/>
      <c r="O46" s="115">
        <v>0</v>
      </c>
      <c r="P46" s="115">
        <v>22307</v>
      </c>
      <c r="Q46" s="116">
        <f>P46</f>
        <v>22307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16198</v>
      </c>
      <c r="AU46" s="119">
        <v>0</v>
      </c>
      <c r="AV46" s="119">
        <v>273832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100993</v>
      </c>
      <c r="Q47" s="116">
        <f>P47</f>
        <v>100993</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-295</v>
      </c>
      <c r="AT47" s="119">
        <v>121018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-433</v>
      </c>
      <c r="Q49" s="116">
        <f>P49</f>
        <v>-433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462</v>
      </c>
      <c r="AU49" s="119">
        <v>0</v>
      </c>
      <c r="AV49" s="119">
        <v>85</v>
      </c>
      <c r="AW49" s="324"/>
    </row>
    <row r="50" spans="2:49" ht="25.5" x14ac:dyDescent="0.2">
      <c r="B50" s="161" t="s">
        <v>266</v>
      </c>
      <c r="C50" s="68"/>
      <c r="D50" s="115">
        <v>14</v>
      </c>
      <c r="E50" s="116">
        <f>D50</f>
        <v>14</v>
      </c>
      <c r="F50" s="116"/>
      <c r="G50" s="116"/>
      <c r="H50" s="116"/>
      <c r="I50" s="115">
        <v>0</v>
      </c>
      <c r="J50" s="115">
        <v>0</v>
      </c>
      <c r="K50" s="116">
        <f>J50</f>
        <v>0</v>
      </c>
      <c r="L50" s="116"/>
      <c r="M50" s="116"/>
      <c r="N50" s="116"/>
      <c r="O50" s="115">
        <v>0</v>
      </c>
      <c r="P50" s="115">
        <v>28581</v>
      </c>
      <c r="Q50" s="116">
        <f>P50</f>
        <v>28581</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22891</v>
      </c>
      <c r="AT50" s="119">
        <v>2654</v>
      </c>
      <c r="AU50" s="119">
        <v>0</v>
      </c>
      <c r="AV50" s="119">
        <v>295</v>
      </c>
      <c r="AW50" s="324"/>
    </row>
    <row r="51" spans="2:49" x14ac:dyDescent="0.2">
      <c r="B51" s="161" t="s">
        <v>267</v>
      </c>
      <c r="C51" s="68"/>
      <c r="D51" s="115">
        <v>409</v>
      </c>
      <c r="E51" s="116">
        <f>D51</f>
        <v>409</v>
      </c>
      <c r="F51" s="116"/>
      <c r="G51" s="116"/>
      <c r="H51" s="116"/>
      <c r="I51" s="115">
        <v>0</v>
      </c>
      <c r="J51" s="115">
        <v>0</v>
      </c>
      <c r="K51" s="116">
        <f>J51</f>
        <v>0</v>
      </c>
      <c r="L51" s="116"/>
      <c r="M51" s="116"/>
      <c r="N51" s="116"/>
      <c r="O51" s="115">
        <v>0</v>
      </c>
      <c r="P51" s="115">
        <v>112663</v>
      </c>
      <c r="Q51" s="116">
        <f>P51</f>
        <v>112663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1119902</v>
      </c>
      <c r="AT51" s="119">
        <v>322397</v>
      </c>
      <c r="AU51" s="119">
        <v>0</v>
      </c>
      <c r="AV51" s="119">
        <v>4804057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791</v>
      </c>
      <c r="Q53" s="116">
        <f>P53</f>
        <v>791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962</v>
      </c>
      <c r="AT53" s="119">
        <v>796</v>
      </c>
      <c r="AU53" s="119">
        <v>0</v>
      </c>
      <c r="AV53" s="119">
        <v>16990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5311875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705</v>
      </c>
      <c r="Q56" s="128">
        <f>P56</f>
        <v>705</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14525</v>
      </c>
      <c r="AT56" s="129">
        <v>6214</v>
      </c>
      <c r="AU56" s="129">
        <v>0</v>
      </c>
      <c r="AV56" s="129">
        <v>25504</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1357</v>
      </c>
      <c r="Q57" s="131">
        <f>P57</f>
        <v>1357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14525</v>
      </c>
      <c r="AT57" s="132">
        <v>12664</v>
      </c>
      <c r="AU57" s="132">
        <v>0</v>
      </c>
      <c r="AV57" s="132">
        <v>50961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5</v>
      </c>
      <c r="Q58" s="131">
        <f>P58</f>
        <v>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110</v>
      </c>
      <c r="AU58" s="132">
        <v>0</v>
      </c>
      <c r="AV58" s="132">
        <v>37</v>
      </c>
      <c r="AW58" s="316"/>
    </row>
    <row r="59" spans="2:49" x14ac:dyDescent="0.2">
      <c r="B59" s="167" t="s">
        <v>275</v>
      </c>
      <c r="C59" s="68" t="s">
        <v>27</v>
      </c>
      <c r="D59" s="130">
        <v>7</v>
      </c>
      <c r="E59" s="131">
        <v>7</v>
      </c>
      <c r="F59" s="131"/>
      <c r="G59" s="131"/>
      <c r="H59" s="131"/>
      <c r="I59" s="130">
        <v>0</v>
      </c>
      <c r="J59" s="130">
        <v>0</v>
      </c>
      <c r="K59" s="131">
        <v>0</v>
      </c>
      <c r="L59" s="131"/>
      <c r="M59" s="131"/>
      <c r="N59" s="131"/>
      <c r="O59" s="130">
        <v>0</v>
      </c>
      <c r="P59" s="130">
        <v>14140</v>
      </c>
      <c r="Q59" s="131">
        <v>14140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170830</v>
      </c>
      <c r="AT59" s="132">
        <v>140338</v>
      </c>
      <c r="AU59" s="132">
        <v>0</v>
      </c>
      <c r="AV59" s="132">
        <v>605365</v>
      </c>
      <c r="AW59" s="316"/>
    </row>
    <row r="60" spans="2:49" x14ac:dyDescent="0.2">
      <c r="B60" s="167" t="s">
        <v>276</v>
      </c>
      <c r="C60" s="68"/>
      <c r="D60" s="133">
        <f>D59/12</f>
        <v>0.58333333333333337</v>
      </c>
      <c r="E60" s="134">
        <f>E59/12</f>
        <v>0.58333333333333337</v>
      </c>
      <c r="F60" s="134"/>
      <c r="G60" s="134"/>
      <c r="H60" s="134"/>
      <c r="I60" s="133">
        <f>I59/12</f>
        <v>0</v>
      </c>
      <c r="J60" s="133">
        <f>J59/12</f>
        <v>0</v>
      </c>
      <c r="K60" s="134">
        <f>K59/12</f>
        <v>0</v>
      </c>
      <c r="L60" s="134"/>
      <c r="M60" s="134"/>
      <c r="N60" s="134"/>
      <c r="O60" s="133">
        <f>O59/12</f>
        <v>0</v>
      </c>
      <c r="P60" s="133">
        <f>P59/12</f>
        <v>1178.3333333333333</v>
      </c>
      <c r="Q60" s="134">
        <f>Q59/12</f>
        <v>1178.3333333333333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14235.833333333334</v>
      </c>
      <c r="AT60" s="135">
        <f>AT59/12</f>
        <v>11694.833333333334</v>
      </c>
      <c r="AU60" s="135">
        <f>AU59/12</f>
        <v>0</v>
      </c>
      <c r="AV60" s="135">
        <f>AV59/12</f>
        <v>50447.083333333336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312358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195266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19923</v>
      </c>
      <c r="E5" s="124">
        <v>1464</v>
      </c>
      <c r="F5" s="124"/>
      <c r="G5" s="136"/>
      <c r="H5" s="136"/>
      <c r="I5" s="123">
        <v>0</v>
      </c>
      <c r="J5" s="123">
        <v>0</v>
      </c>
      <c r="K5" s="124">
        <v>0</v>
      </c>
      <c r="L5" s="124"/>
      <c r="M5" s="124"/>
      <c r="N5" s="124"/>
      <c r="O5" s="123">
        <v>0</v>
      </c>
      <c r="P5" s="123">
        <v>4658317</v>
      </c>
      <c r="Q5" s="124">
        <v>4654892</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15294297</v>
      </c>
      <c r="AT5" s="125">
        <v>5911052</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55153</v>
      </c>
      <c r="Q6" s="116">
        <v>55153</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47526</v>
      </c>
      <c r="AT6" s="119">
        <v>2844</v>
      </c>
      <c r="AU6" s="119">
        <v>0</v>
      </c>
      <c r="AV6" s="317"/>
      <c r="AW6" s="324"/>
    </row>
    <row r="7" spans="2:49" x14ac:dyDescent="0.2">
      <c r="B7" s="182" t="s">
        <v>280</v>
      </c>
      <c r="C7" s="139" t="s">
        <v>9</v>
      </c>
      <c r="D7" s="115">
        <v>18463</v>
      </c>
      <c r="E7" s="116"/>
      <c r="F7" s="116"/>
      <c r="G7" s="117"/>
      <c r="H7" s="117"/>
      <c r="I7" s="115"/>
      <c r="J7" s="115">
        <v>0</v>
      </c>
      <c r="K7" s="116"/>
      <c r="L7" s="116"/>
      <c r="M7" s="116"/>
      <c r="N7" s="116"/>
      <c r="O7" s="115"/>
      <c r="P7" s="115">
        <v>5224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45352</v>
      </c>
      <c r="AT7" s="119">
        <v>347426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4222</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4222</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-8440</v>
      </c>
      <c r="F11" s="116"/>
      <c r="G11" s="116"/>
      <c r="H11" s="116"/>
      <c r="I11" s="115">
        <f>0</f>
        <v>0</v>
      </c>
      <c r="J11" s="115">
        <f>J41</f>
        <v>0</v>
      </c>
      <c r="K11" s="116">
        <f>K42</f>
        <v>0</v>
      </c>
      <c r="L11" s="116"/>
      <c r="M11" s="116"/>
      <c r="N11" s="116"/>
      <c r="O11" s="115">
        <f>0</f>
        <v>0</v>
      </c>
      <c r="P11" s="115">
        <f>P41</f>
        <v>802458</v>
      </c>
      <c r="Q11" s="116">
        <f>Q42</f>
        <v>493113</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8440</v>
      </c>
      <c r="E12" s="295"/>
      <c r="F12" s="295"/>
      <c r="G12" s="295"/>
      <c r="H12" s="295"/>
      <c r="I12" s="299"/>
      <c r="J12" s="115">
        <f>J43</f>
        <v>0</v>
      </c>
      <c r="K12" s="295"/>
      <c r="L12" s="295"/>
      <c r="M12" s="295"/>
      <c r="N12" s="295"/>
      <c r="O12" s="299"/>
      <c r="P12" s="115">
        <f>P43</f>
        <v>309345</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1507</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527</v>
      </c>
      <c r="AT13" s="119">
        <v>-286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-51137</v>
      </c>
      <c r="E23" s="294"/>
      <c r="F23" s="294"/>
      <c r="G23" s="294"/>
      <c r="H23" s="294"/>
      <c r="I23" s="298"/>
      <c r="J23" s="115">
        <v>-9</v>
      </c>
      <c r="K23" s="294"/>
      <c r="L23" s="294"/>
      <c r="M23" s="294"/>
      <c r="N23" s="294"/>
      <c r="O23" s="298"/>
      <c r="P23" s="115">
        <v>4932768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14971224</v>
      </c>
      <c r="AT23" s="119">
        <v>2915764</v>
      </c>
      <c r="AU23" s="119">
        <v>0</v>
      </c>
      <c r="AV23" s="317"/>
      <c r="AW23" s="324"/>
    </row>
    <row r="24" spans="2:49" ht="28.5" customHeight="1" x14ac:dyDescent="0.2">
      <c r="B24" s="184" t="s">
        <v>114</v>
      </c>
      <c r="C24" s="139"/>
      <c r="D24" s="299"/>
      <c r="E24" s="116">
        <v>-51144</v>
      </c>
      <c r="F24" s="116"/>
      <c r="G24" s="116"/>
      <c r="H24" s="116"/>
      <c r="I24" s="115">
        <v>0</v>
      </c>
      <c r="J24" s="299"/>
      <c r="K24" s="116">
        <v>-9</v>
      </c>
      <c r="L24" s="116"/>
      <c r="M24" s="116"/>
      <c r="N24" s="116"/>
      <c r="O24" s="115">
        <v>0</v>
      </c>
      <c r="P24" s="299"/>
      <c r="Q24" s="116">
        <v>4256833</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585</v>
      </c>
      <c r="E26" s="294"/>
      <c r="F26" s="294"/>
      <c r="G26" s="294"/>
      <c r="H26" s="294"/>
      <c r="I26" s="298"/>
      <c r="J26" s="115">
        <v>0</v>
      </c>
      <c r="K26" s="294"/>
      <c r="L26" s="294"/>
      <c r="M26" s="294"/>
      <c r="N26" s="294"/>
      <c r="O26" s="298"/>
      <c r="P26" s="115">
        <v>1065229</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693526</v>
      </c>
      <c r="AT26" s="119">
        <v>497200</v>
      </c>
      <c r="AU26" s="119">
        <v>0</v>
      </c>
      <c r="AV26" s="317"/>
      <c r="AW26" s="324"/>
    </row>
    <row r="27" spans="2:49" s="11" customFormat="1" ht="25.5" x14ac:dyDescent="0.2">
      <c r="B27" s="184" t="s">
        <v>85</v>
      </c>
      <c r="C27" s="139"/>
      <c r="D27" s="299"/>
      <c r="E27" s="116">
        <v>-2962</v>
      </c>
      <c r="F27" s="116"/>
      <c r="G27" s="116"/>
      <c r="H27" s="116"/>
      <c r="I27" s="115">
        <v>0</v>
      </c>
      <c r="J27" s="299"/>
      <c r="K27" s="116">
        <v>0</v>
      </c>
      <c r="L27" s="116"/>
      <c r="M27" s="116"/>
      <c r="N27" s="116"/>
      <c r="O27" s="115">
        <v>0</v>
      </c>
      <c r="P27" s="299"/>
      <c r="Q27" s="116">
        <v>-102973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6497</v>
      </c>
      <c r="E28" s="295"/>
      <c r="F28" s="295"/>
      <c r="G28" s="295"/>
      <c r="H28" s="295"/>
      <c r="I28" s="299"/>
      <c r="J28" s="115">
        <v>0</v>
      </c>
      <c r="K28" s="295"/>
      <c r="L28" s="295"/>
      <c r="M28" s="295"/>
      <c r="N28" s="295"/>
      <c r="O28" s="299"/>
      <c r="P28" s="115">
        <v>1860739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386092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1420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v>
      </c>
      <c r="E34" s="294"/>
      <c r="F34" s="294"/>
      <c r="G34" s="294"/>
      <c r="H34" s="294"/>
      <c r="I34" s="298"/>
      <c r="J34" s="115">
        <v>0</v>
      </c>
      <c r="K34" s="294"/>
      <c r="L34" s="294"/>
      <c r="M34" s="294"/>
      <c r="N34" s="294"/>
      <c r="O34" s="298"/>
      <c r="P34" s="115">
        <v>8699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7</v>
      </c>
      <c r="F35" s="116"/>
      <c r="G35" s="116"/>
      <c r="H35" s="116"/>
      <c r="I35" s="115">
        <v>0</v>
      </c>
      <c r="J35" s="299"/>
      <c r="K35" s="116">
        <f>J34</f>
        <v>0</v>
      </c>
      <c r="L35" s="116"/>
      <c r="M35" s="116"/>
      <c r="N35" s="116"/>
      <c r="O35" s="115">
        <v>0</v>
      </c>
      <c r="P35" s="299"/>
      <c r="Q35" s="116">
        <f>P34</f>
        <v>8699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58</v>
      </c>
      <c r="E36" s="116">
        <f>D36</f>
        <v>58</v>
      </c>
      <c r="F36" s="116"/>
      <c r="G36" s="116"/>
      <c r="H36" s="116"/>
      <c r="I36" s="115">
        <v>0</v>
      </c>
      <c r="J36" s="115">
        <v>0</v>
      </c>
      <c r="K36" s="116">
        <f>J36</f>
        <v>0</v>
      </c>
      <c r="L36" s="116"/>
      <c r="M36" s="116"/>
      <c r="N36" s="116"/>
      <c r="O36" s="115">
        <v>0</v>
      </c>
      <c r="P36" s="115">
        <v>14572</v>
      </c>
      <c r="Q36" s="116">
        <f>P36</f>
        <v>14572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4222</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4222</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802458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-8440</v>
      </c>
      <c r="F42" s="116"/>
      <c r="G42" s="116"/>
      <c r="H42" s="116"/>
      <c r="I42" s="115">
        <v>0</v>
      </c>
      <c r="J42" s="299"/>
      <c r="K42" s="116">
        <v>0</v>
      </c>
      <c r="L42" s="116"/>
      <c r="M42" s="116"/>
      <c r="N42" s="116"/>
      <c r="O42" s="115">
        <v>0</v>
      </c>
      <c r="P42" s="299"/>
      <c r="Q42" s="116">
        <v>493113</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8440</v>
      </c>
      <c r="E43" s="295"/>
      <c r="F43" s="295"/>
      <c r="G43" s="295"/>
      <c r="H43" s="295"/>
      <c r="I43" s="299"/>
      <c r="J43" s="115">
        <v>0</v>
      </c>
      <c r="K43" s="295"/>
      <c r="L43" s="295"/>
      <c r="M43" s="295"/>
      <c r="N43" s="295"/>
      <c r="O43" s="299"/>
      <c r="P43" s="115">
        <v>309345</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10564</v>
      </c>
      <c r="Q45" s="116">
        <v>10817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59696</v>
      </c>
      <c r="Q49" s="116">
        <v>12649</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3032920</v>
      </c>
      <c r="AT49" s="119">
        <v>0</v>
      </c>
      <c r="AU49" s="119">
        <v>0</v>
      </c>
      <c r="AV49" s="317"/>
      <c r="AW49" s="324"/>
    </row>
    <row r="50" spans="2:49" x14ac:dyDescent="0.2">
      <c r="B50" s="182" t="s">
        <v>119</v>
      </c>
      <c r="C50" s="139" t="s">
        <v>34</v>
      </c>
      <c r="D50" s="115">
        <v>119</v>
      </c>
      <c r="E50" s="295"/>
      <c r="F50" s="295"/>
      <c r="G50" s="295"/>
      <c r="H50" s="295"/>
      <c r="I50" s="299"/>
      <c r="J50" s="115">
        <v>0</v>
      </c>
      <c r="K50" s="295"/>
      <c r="L50" s="295"/>
      <c r="M50" s="295"/>
      <c r="N50" s="295"/>
      <c r="O50" s="299"/>
      <c r="P50" s="115">
        <v>67611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-61197</v>
      </c>
      <c r="E54" s="121">
        <f>E24+E27+E31+E35-E36+E39+E42+E45+E46-E49+E51+E52+E53</f>
        <v>-58375</v>
      </c>
      <c r="F54" s="121"/>
      <c r="G54" s="121"/>
      <c r="H54" s="121"/>
      <c r="I54" s="120">
        <f>I24+I27+I31+I35-I36+I39+I42+I45+I46-I49+I51+I52+I53</f>
        <v>0</v>
      </c>
      <c r="J54" s="120">
        <f>J23+J26-J28+J30-J32+J34-J36+J38+J41-J43+J45+J46-J47-J49+J50+J51+J52+J53</f>
        <v>-9</v>
      </c>
      <c r="K54" s="121">
        <f>K24+K27+K31+K35-K36+K39+K42+K45+K46-K49+K51+K52+K53</f>
        <v>-9</v>
      </c>
      <c r="L54" s="121"/>
      <c r="M54" s="121"/>
      <c r="N54" s="121"/>
      <c r="O54" s="120">
        <f>O24+O27+O31+O35-O36+O39+O42+O45+O46-O49+O51+O52+O53</f>
        <v>0</v>
      </c>
      <c r="P54" s="120">
        <f>P23+P26-P28+P30-P32+P34-P36+P38+P41-P43+P45+P46-P47-P49+P50+P51+P52+P53</f>
        <v>4642977</v>
      </c>
      <c r="Q54" s="121">
        <f>Q24+Q27+Q31+Q35-Q36+Q39+Q42+Q45+Q46-Q49+Q51+Q52+Q53</f>
        <v>4639268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12631830</v>
      </c>
      <c r="AT54" s="122">
        <f>AT23+AT26-AT28+AT30-AT32+AT34-AT36+AT38+AT41-AT43+AT45+AT46-AT47-AT49+AT50+AT51+AT52+AT53</f>
        <v>3025452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13974.63</v>
      </c>
      <c r="D5" s="124">
        <v>-824</v>
      </c>
      <c r="E5" s="352"/>
      <c r="F5" s="352"/>
      <c r="G5" s="318"/>
      <c r="H5" s="123">
        <v>0</v>
      </c>
      <c r="I5" s="124">
        <v>0</v>
      </c>
      <c r="J5" s="352"/>
      <c r="K5" s="352"/>
      <c r="L5" s="318"/>
      <c r="M5" s="123">
        <v>9724336.9600000009</v>
      </c>
      <c r="N5" s="124">
        <v>7612612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14257</v>
      </c>
      <c r="D6" s="116">
        <v>-1468</v>
      </c>
      <c r="E6" s="121">
        <f>SUM('Pt 1 Summary of Data'!E$12,'Pt 1 Summary of Data'!E$22)+SUM('Pt 1 Summary of Data'!G$12,'Pt 1 Summary of Data'!G$22)-SUM('Pt 1 Summary of Data'!H$12,'Pt 1 Summary of Data'!H$22)</f>
        <v>-58375</v>
      </c>
      <c r="F6" s="121">
        <f>SUM(C6:E6)</f>
        <v>-45586</v>
      </c>
      <c r="G6" s="122">
        <f>'Pt 1 Summary of Data'!I12+'Pt 1 Summary of Data'!I22</f>
        <v>0</v>
      </c>
      <c r="H6" s="115">
        <v>0</v>
      </c>
      <c r="I6" s="116">
        <v>0</v>
      </c>
      <c r="J6" s="121">
        <f>'Pt 1 Summary of Data'!K12+'Pt 1 Summary of Data'!K22</f>
        <v>-9</v>
      </c>
      <c r="K6" s="121">
        <f>SUM(H6:J6)</f>
        <v>-9</v>
      </c>
      <c r="L6" s="122">
        <f>'Pt 1 Summary of Data'!O12+'Pt 1 Summary of Data'!O22</f>
        <v>0</v>
      </c>
      <c r="M6" s="115">
        <v>9813675</v>
      </c>
      <c r="N6" s="116">
        <v>7608699</v>
      </c>
      <c r="O6" s="121">
        <f>'Pt 1 Summary of Data'!Q12+'Pt 1 Summary of Data'!Q22</f>
        <v>4639268</v>
      </c>
      <c r="P6" s="121">
        <f>SUM(M6:O6)</f>
        <v>22061642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68</v>
      </c>
      <c r="D7" s="116">
        <v>72</v>
      </c>
      <c r="E7" s="121">
        <f>SUM('Pt 1 Summary of Data'!E37:E41)+MAX(0,MIN('Pt 1 Summary of Data'!E42,0.3%*('Pt 1 Summary of Data'!E5-SUM(E9:E11))))</f>
        <v>3</v>
      </c>
      <c r="F7" s="121">
        <f>SUM(C7:E7)</f>
        <v>143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76280</v>
      </c>
      <c r="N7" s="116">
        <v>61938</v>
      </c>
      <c r="O7" s="121">
        <f>SUM('Pt 1 Summary of Data'!Q37:Q41)+MAX(0,MIN('Pt 1 Summary of Data'!Q42,0.3%*('Pt 1 Summary of Data'!Q5)))</f>
        <v>11467</v>
      </c>
      <c r="P7" s="121">
        <f>SUM(M7:O7)</f>
        <v>149685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14325</v>
      </c>
      <c r="D12" s="121">
        <f>SUM(D$6:D$7)+IF(AND(OR('Company Information'!$C$12="District of Columbia",'Company Information'!$C$12="Massachusetts",'Company Information'!$C$12="Vermont"),SUM($C$6:$F$11,$C$15:$F$16,$C$37:$D$37)&lt;&gt;0),SUM(I$6:I$7),0)</f>
        <v>-1396</v>
      </c>
      <c r="E12" s="121">
        <f>SUM(E$6:E$7)-SUM(E$8:E$11)+IF(AND(OR('Company Information'!$C$12="District of Columbia",'Company Information'!$C$12="Massachusetts",'Company Information'!$C$12="Vermont"),SUM($C$6:$F$11,$C$15:$F$16,$C$37:$D$37)&lt;&gt;0),SUM(J$6:J$7)-SUM(J$10:J$11),0)</f>
        <v>-58372</v>
      </c>
      <c r="F12" s="121">
        <f>IFERROR(SUM(C$12:E$12)+C$17*MAX(0,E$49-C$49)+D$17*MAX(0,E$49-D$49),0)</f>
        <v>-45443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-9</v>
      </c>
      <c r="K12" s="121">
        <f>IFERROR(SUM(H$12:J$12)+H$17*MAX(0,J$49-H$49)+I$17*MAX(0,J$49-I$49),0)</f>
        <v>-9</v>
      </c>
      <c r="L12" s="317"/>
      <c r="M12" s="120">
        <f>SUM(M$6:M$7)</f>
        <v>9889955</v>
      </c>
      <c r="N12" s="121">
        <f>SUM(N$6:N$7)</f>
        <v>7670637</v>
      </c>
      <c r="O12" s="121">
        <f>SUM(O$6:O$7)</f>
        <v>4650735</v>
      </c>
      <c r="P12" s="121">
        <f>SUM(M$12:O$12)+M$17*MAX(0,O$49-M$49)+N$17*MAX(0,O$49-N$49)</f>
        <v>22211327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14071</v>
      </c>
      <c r="D15" s="124">
        <v>28459</v>
      </c>
      <c r="E15" s="112">
        <f>SUM('Pt 1 Summary of Data'!E$5:E$7)+SUM('Pt 1 Summary of Data'!G$5:G$7)-SUM('Pt 1 Summary of Data'!H$5:H$7)-SUM(E$9:E$11)+D$55</f>
        <v>1462</v>
      </c>
      <c r="F15" s="112">
        <f>SUM(C15:E15)</f>
        <v>43992</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11750968</v>
      </c>
      <c r="N15" s="124">
        <v>10920634</v>
      </c>
      <c r="O15" s="112">
        <f>SUM('Pt 1 Summary of Data'!Q5:Q7)+N55</f>
        <v>4725980</v>
      </c>
      <c r="P15" s="112">
        <f>SUM(M15:O15)</f>
        <v>27397582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-2494</v>
      </c>
      <c r="D16" s="116">
        <v>9874</v>
      </c>
      <c r="E16" s="121">
        <f>'Pt 1 Summary of Data'!E25+'Pt 1 Summary of Data'!E26+'Pt 1 Summary of Data'!E27+'Pt 1 Summary of Data'!E28+'Pt 1 Summary of Data'!E30+'Pt 1 Summary of Data'!E31+'Pt 1 Summary of Data'!E34+'Pt 1 Summary of Data'!E35+'Pt 3 MLR and Rebate Calculation'!D56</f>
        <v>21870</v>
      </c>
      <c r="F16" s="121">
        <f>SUM(C16:E16)</f>
        <v>29250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3</v>
      </c>
      <c r="K16" s="121">
        <f>SUM(H16:J16)</f>
        <v>3</v>
      </c>
      <c r="L16" s="122">
        <f>'Pt 1 Summary of Data'!O25+'Pt 1 Summary of Data'!O26+'Pt 1 Summary of Data'!O27+'Pt 1 Summary of Data'!O28+'Pt 1 Summary of Data'!O30+'Pt 1 Summary of Data'!O31+'Pt 1 Summary of Data'!O34+'Pt 1 Summary of Data'!O35</f>
        <v>0</v>
      </c>
      <c r="M16" s="115">
        <v>371744</v>
      </c>
      <c r="N16" s="116">
        <v>1130652</v>
      </c>
      <c r="O16" s="121">
        <f>'Pt 1 Summary of Data'!Q25+'Pt 1 Summary of Data'!Q26+'Pt 1 Summary of Data'!Q27+'Pt 1 Summary of Data'!Q28+'Pt 1 Summary of Data'!Q30+'Pt 1 Summary of Data'!Q31+'Pt 1 Summary of Data'!Q34+'Pt 1 Summary of Data'!Q35+'Pt 3 MLR and Rebate Calculation'!N56</f>
        <v>-92108</v>
      </c>
      <c r="P16" s="121">
        <f>SUM(M16:O16)</f>
        <v>1410288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16565</v>
      </c>
      <c r="D17" s="121">
        <f>D$15-D$16+IF(AND(OR('Company Information'!$C$12="District of Columbia",'Company Information'!$C$12="Massachusetts",'Company Information'!$C$12="Vermont"),SUM($C$6:$F$11,$C$15:$F$16,$C$37:$D$37)&lt;&gt;0),I$15-I$16,0)</f>
        <v>18585</v>
      </c>
      <c r="E17" s="121">
        <f>E$15-E$16+IF(AND(OR('Company Information'!$C$12="District of Columbia",'Company Information'!$C$12="Massachusetts",'Company Information'!$C$12="Vermont"),SUM($C$6:$F$11,$C$15:$F$16,$C$37:$D$37)&lt;&gt;0),J$15-J$16,0)</f>
        <v>-20408</v>
      </c>
      <c r="F17" s="121">
        <f>F$15-F$16+IF(AND(OR('Company Information'!$C$12="District of Columbia",'Company Information'!$C$12="Massachusetts",'Company Information'!$C$12="Vermont"),SUM($C$6:$F$11,$C$15:$F$16,$C$37:$D$37)&lt;&gt;0),K$15-K$16,0)</f>
        <v>14742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-3</v>
      </c>
      <c r="K17" s="121">
        <f>K$15-K$16+IF(AND(OR('Company Information'!$C$12="District of Columbia",'Company Information'!$C$12="Massachusetts",'Company Information'!$C$12="Vermont"),SUM($H$6:$K$11,$H$15:$K$16,$H$37:$I$37)&lt;&gt;0),F$15-F$16,0)</f>
        <v>-3</v>
      </c>
      <c r="L17" s="320"/>
      <c r="M17" s="120">
        <f>M$15-M$16</f>
        <v>11379224</v>
      </c>
      <c r="N17" s="121">
        <f>N$15-N$16</f>
        <v>9789982</v>
      </c>
      <c r="O17" s="121">
        <f>O$15-O$16</f>
        <v>4818088</v>
      </c>
      <c r="P17" s="121">
        <f>P$15-P$16</f>
        <v>25987294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4</v>
      </c>
      <c r="E37" s="262">
        <f>'Pt 1 Summary of Data'!E60</f>
        <v>0.58333333333333337</v>
      </c>
      <c r="F37" s="262">
        <f>SUM(C37:E37)</f>
        <v>8.5833333333333339</v>
      </c>
      <c r="G37" s="318"/>
      <c r="H37" s="127">
        <v>0</v>
      </c>
      <c r="I37" s="128">
        <v>0</v>
      </c>
      <c r="J37" s="262">
        <f>'Pt 1 Summary of Data'!K60</f>
        <v>0</v>
      </c>
      <c r="K37" s="262">
        <f>SUM(H37:J37)</f>
        <v>0</v>
      </c>
      <c r="L37" s="318"/>
      <c r="M37" s="127">
        <v>2374</v>
      </c>
      <c r="N37" s="128">
        <v>2416</v>
      </c>
      <c r="O37" s="262">
        <f>'Pt 1 Summary of Data'!Q60</f>
        <v>1178.3333333333333</v>
      </c>
      <c r="P37" s="262">
        <f>SUM(M37:O37)</f>
        <v>5968.333333333333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3.4869666666666667E-2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3.4869666666666667E-2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0.86912385238220113</v>
      </c>
      <c r="N44" s="266">
        <f>IF(OR(N$37&lt;1000,N$17&lt;=0),"",N$12/N$17)</f>
        <v>0.78351900953444042</v>
      </c>
      <c r="O44" s="266">
        <f>IF(OR(O$37&lt;1000,O$17&lt;=0),"",O$12/O$17)</f>
        <v>0.96526568215441477</v>
      </c>
      <c r="P44" s="266">
        <f>IF(OR(P$37&lt;1000,P$17&lt;=0),"",P$12/P$17)</f>
        <v>0.85469949275980794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3.4869666666666667E-2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4818088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21491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7867</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705</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