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AA7" i="10"/>
  <c r="AB7" i="10" s="1"/>
  <c r="Z17" i="10"/>
  <c r="Z13" i="10"/>
  <c r="Y46" i="10"/>
  <c r="Y17" i="10"/>
  <c r="Y13" i="10"/>
  <c r="X41" i="10"/>
  <c r="W16" i="10"/>
  <c r="X16" i="10" s="1"/>
  <c r="W15" i="10"/>
  <c r="T41" i="10"/>
  <c r="S16" i="10"/>
  <c r="T16" i="10" s="1"/>
  <c r="S7" i="10"/>
  <c r="T7" i="10" s="1"/>
  <c r="P41"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F8" i="10"/>
  <c r="E16" i="10"/>
  <c r="F16" i="10" s="1"/>
  <c r="E11" i="10"/>
  <c r="F11" i="10" s="1"/>
  <c r="E10" i="10"/>
  <c r="F10" i="10" s="1"/>
  <c r="E9" i="10"/>
  <c r="F9" i="10" s="1"/>
  <c r="E8" i="10"/>
  <c r="E7" i="10"/>
  <c r="F7" i="10" s="1"/>
  <c r="AU55" i="18"/>
  <c r="AU54" i="18"/>
  <c r="AT55" i="18"/>
  <c r="AT54" i="18"/>
  <c r="AT12" i="4" s="1"/>
  <c r="AS55" i="18"/>
  <c r="AS22" i="4" s="1"/>
  <c r="AS54" i="18"/>
  <c r="AC55" i="18"/>
  <c r="AC54" i="18"/>
  <c r="AC12" i="4" s="1"/>
  <c r="AB55" i="18"/>
  <c r="AB22" i="4" s="1"/>
  <c r="AB54" i="18"/>
  <c r="AA55" i="18"/>
  <c r="AA54" i="18"/>
  <c r="AA12" i="4" s="1"/>
  <c r="Z55" i="18"/>
  <c r="Z22" i="4" s="1"/>
  <c r="Z54" i="18"/>
  <c r="Y55" i="18"/>
  <c r="Y54" i="18"/>
  <c r="Y12" i="4" s="1"/>
  <c r="W6" i="10" s="1"/>
  <c r="X55" i="18"/>
  <c r="X54" i="18"/>
  <c r="W55" i="18"/>
  <c r="W54" i="18"/>
  <c r="W12" i="4" s="1"/>
  <c r="V55" i="18"/>
  <c r="V22" i="4" s="1"/>
  <c r="V54" i="18"/>
  <c r="U55" i="18"/>
  <c r="U54" i="18"/>
  <c r="U12" i="4" s="1"/>
  <c r="T55" i="18"/>
  <c r="T22" i="4" s="1"/>
  <c r="T54" i="18"/>
  <c r="S55" i="18"/>
  <c r="S54" i="18"/>
  <c r="S12" i="4" s="1"/>
  <c r="R55" i="18"/>
  <c r="R22" i="4" s="1"/>
  <c r="R54" i="18"/>
  <c r="Q55" i="18"/>
  <c r="Q54" i="18"/>
  <c r="Q12" i="4" s="1"/>
  <c r="P55" i="18"/>
  <c r="P54" i="18"/>
  <c r="O55" i="18"/>
  <c r="O54" i="18"/>
  <c r="O12" i="4" s="1"/>
  <c r="N55" i="18"/>
  <c r="N22" i="4" s="1"/>
  <c r="N54" i="18"/>
  <c r="M55" i="18"/>
  <c r="M54" i="18"/>
  <c r="M12" i="4" s="1"/>
  <c r="L55" i="18"/>
  <c r="L22" i="4" s="1"/>
  <c r="L54" i="18"/>
  <c r="K55" i="18"/>
  <c r="K54" i="18"/>
  <c r="K12" i="4" s="1"/>
  <c r="J55" i="18"/>
  <c r="J22" i="4" s="1"/>
  <c r="J54" i="18"/>
  <c r="I55" i="18"/>
  <c r="I54" i="18"/>
  <c r="I12" i="4" s="1"/>
  <c r="G6" i="10" s="1"/>
  <c r="H55" i="18"/>
  <c r="H54" i="18"/>
  <c r="G55" i="18"/>
  <c r="G54" i="18"/>
  <c r="G12" i="4" s="1"/>
  <c r="F55" i="18"/>
  <c r="F22" i="4" s="1"/>
  <c r="F54" i="18"/>
  <c r="E55" i="18"/>
  <c r="E54" i="18"/>
  <c r="E12" i="4" s="1"/>
  <c r="D55" i="18"/>
  <c r="D22" i="4" s="1"/>
  <c r="D54" i="18"/>
  <c r="AV60" i="4"/>
  <c r="AU60" i="4"/>
  <c r="AU22" i="4"/>
  <c r="AU12" i="4"/>
  <c r="AU5" i="4"/>
  <c r="AT60" i="4"/>
  <c r="AT22" i="4"/>
  <c r="AT5" i="4"/>
  <c r="AS60" i="4"/>
  <c r="AS12" i="4"/>
  <c r="AS5" i="4"/>
  <c r="AC60" i="4"/>
  <c r="AC22" i="4"/>
  <c r="AC5" i="4"/>
  <c r="AB60" i="4"/>
  <c r="AB12" i="4"/>
  <c r="AB5" i="4"/>
  <c r="AA15" i="10" s="1"/>
  <c r="AB15" i="10" s="1"/>
  <c r="AB17" i="10" s="1"/>
  <c r="AA60" i="4"/>
  <c r="AA22" i="4"/>
  <c r="AA5" i="4"/>
  <c r="Z60" i="4"/>
  <c r="Z12" i="4"/>
  <c r="Z5" i="4"/>
  <c r="Y60" i="4"/>
  <c r="Y22" i="4"/>
  <c r="Y5" i="4"/>
  <c r="W7" i="10" s="1"/>
  <c r="X7" i="10" s="1"/>
  <c r="X60" i="4"/>
  <c r="X22" i="4"/>
  <c r="X12" i="4"/>
  <c r="X5" i="4"/>
  <c r="W60" i="4"/>
  <c r="W22" i="4"/>
  <c r="W5" i="4"/>
  <c r="V60" i="4"/>
  <c r="V12" i="4"/>
  <c r="V5" i="4"/>
  <c r="S15" i="10" s="1"/>
  <c r="T15" i="10" s="1"/>
  <c r="U60" i="4"/>
  <c r="U22" i="4"/>
  <c r="U5" i="4"/>
  <c r="T60" i="4"/>
  <c r="T12" i="4"/>
  <c r="T5" i="4"/>
  <c r="S60" i="4"/>
  <c r="S22" i="4"/>
  <c r="S5" i="4"/>
  <c r="R60" i="4"/>
  <c r="R12" i="4"/>
  <c r="R5" i="4"/>
  <c r="Q60" i="4"/>
  <c r="Q22" i="4"/>
  <c r="Q5" i="4"/>
  <c r="O7" i="10" s="1"/>
  <c r="P7" i="10" s="1"/>
  <c r="P60" i="4"/>
  <c r="P22" i="4"/>
  <c r="P12" i="4"/>
  <c r="P5" i="4"/>
  <c r="O60" i="4"/>
  <c r="O22" i="4"/>
  <c r="O5" i="4"/>
  <c r="L7" i="10" s="1"/>
  <c r="N60" i="4"/>
  <c r="N12" i="4"/>
  <c r="N5" i="4"/>
  <c r="M60" i="4"/>
  <c r="M22" i="4"/>
  <c r="M5" i="4"/>
  <c r="L60" i="4"/>
  <c r="L12" i="4"/>
  <c r="L5" i="4"/>
  <c r="K60" i="4"/>
  <c r="K22" i="4"/>
  <c r="K5" i="4"/>
  <c r="J60" i="4"/>
  <c r="J12" i="4"/>
  <c r="J5" i="4"/>
  <c r="I60" i="4"/>
  <c r="I22" i="4"/>
  <c r="I5" i="4"/>
  <c r="H60" i="4"/>
  <c r="H22" i="4"/>
  <c r="H12" i="4"/>
  <c r="H5" i="4"/>
  <c r="G60" i="4"/>
  <c r="G22" i="4"/>
  <c r="G5" i="4"/>
  <c r="F60" i="4"/>
  <c r="F12" i="4"/>
  <c r="F5" i="4"/>
  <c r="E60" i="4"/>
  <c r="E22" i="4"/>
  <c r="E5" i="4"/>
  <c r="E15" i="10" s="1"/>
  <c r="F15" i="10" s="1"/>
  <c r="D60" i="4"/>
  <c r="D12" i="4"/>
  <c r="D5" i="4"/>
  <c r="S6" i="10" l="1"/>
  <c r="M45" i="10"/>
  <c r="P15" i="10"/>
  <c r="P17" i="10" s="1"/>
  <c r="AB52" i="10"/>
  <c r="AB46" i="10"/>
  <c r="AB53" i="10"/>
  <c r="H11" i="16" s="1"/>
  <c r="AB42" i="10"/>
  <c r="J15" i="10"/>
  <c r="AA6" i="10"/>
  <c r="E6" i="10"/>
  <c r="G20" i="10"/>
  <c r="J6" i="10"/>
  <c r="L6" i="10"/>
  <c r="L20" i="10" s="1"/>
  <c r="O6" i="10"/>
  <c r="V17" i="10"/>
  <c r="V46" i="10" s="1"/>
  <c r="X6" i="10"/>
  <c r="U13" i="10" s="1"/>
  <c r="G32" i="10"/>
  <c r="G24" i="10"/>
  <c r="G27" i="10"/>
  <c r="G23" i="10"/>
  <c r="G22" i="10"/>
  <c r="G19" i="10"/>
  <c r="P52" i="10"/>
  <c r="X15" i="10"/>
  <c r="X17" i="10" s="1"/>
  <c r="AA17" i="10"/>
  <c r="J7" i="10"/>
  <c r="K7" i="10" s="1"/>
  <c r="Z46" i="10"/>
  <c r="AB39" i="10" s="1"/>
  <c r="AA46" i="10"/>
  <c r="G30" i="10" l="1"/>
  <c r="G21" i="10"/>
  <c r="V13" i="10"/>
  <c r="W38" i="10"/>
  <c r="G31" i="10"/>
  <c r="G29" i="10" s="1"/>
  <c r="G33" i="10" s="1"/>
  <c r="G34" i="10" s="1"/>
  <c r="G26" i="10"/>
  <c r="G25" i="10" s="1"/>
  <c r="G28" i="10" s="1"/>
  <c r="T6" i="10"/>
  <c r="S38" i="10" s="1"/>
  <c r="Q13" i="10"/>
  <c r="S13" i="10"/>
  <c r="T17" i="10"/>
  <c r="S17" i="10"/>
  <c r="L19" i="10"/>
  <c r="L22" i="10" s="1"/>
  <c r="O12" i="10"/>
  <c r="P6" i="10"/>
  <c r="F6" i="10"/>
  <c r="D17" i="10"/>
  <c r="D45" i="10" s="1"/>
  <c r="E12" i="10"/>
  <c r="C12" i="10"/>
  <c r="E38" i="10"/>
  <c r="L24" i="10"/>
  <c r="AB6" i="10"/>
  <c r="AB13" i="10" s="1"/>
  <c r="AA13" i="10"/>
  <c r="W17" i="10"/>
  <c r="L23" i="10"/>
  <c r="U17" i="10"/>
  <c r="W13" i="10"/>
  <c r="K6" i="10"/>
  <c r="J38" i="10" s="1"/>
  <c r="H12" i="10"/>
  <c r="J12" i="10"/>
  <c r="H17" i="10"/>
  <c r="K15" i="10"/>
  <c r="K17" i="10" s="1"/>
  <c r="AB48" i="10"/>
  <c r="AB51" i="10" s="1"/>
  <c r="AB47" i="10"/>
  <c r="L27" i="10"/>
  <c r="L32" i="10"/>
  <c r="K38" i="10" l="1"/>
  <c r="S46" i="10"/>
  <c r="T38" i="10"/>
  <c r="H45" i="10"/>
  <c r="F38" i="10"/>
  <c r="O45" i="10"/>
  <c r="P39" i="10" s="1"/>
  <c r="P42" i="10" s="1"/>
  <c r="P12" i="10"/>
  <c r="P45" i="10" s="1"/>
  <c r="I12" i="10"/>
  <c r="E17" i="10"/>
  <c r="E45" i="10" s="1"/>
  <c r="F17" i="10"/>
  <c r="J17" i="10"/>
  <c r="J45" i="10" s="1"/>
  <c r="D12" i="10"/>
  <c r="R13" i="10"/>
  <c r="Q17" i="10"/>
  <c r="X13" i="10"/>
  <c r="U46" i="10"/>
  <c r="I17" i="10"/>
  <c r="I45" i="10" s="1"/>
  <c r="C17" i="10"/>
  <c r="L30" i="10"/>
  <c r="L31" i="10" s="1"/>
  <c r="L29" i="10" s="1"/>
  <c r="L33" i="10" s="1"/>
  <c r="L34" i="10" s="1"/>
  <c r="L21" i="10"/>
  <c r="L26" i="10" s="1"/>
  <c r="L25" i="10" s="1"/>
  <c r="L28" i="10" s="1"/>
  <c r="R17" i="10"/>
  <c r="R46" i="10" s="1"/>
  <c r="X38" i="10"/>
  <c r="W46" i="10"/>
  <c r="P47" i="10" l="1"/>
  <c r="P48" i="10" s="1"/>
  <c r="P51" i="10" s="1"/>
  <c r="P53" i="10" s="1"/>
  <c r="E11" i="16" s="1"/>
  <c r="C45" i="10"/>
  <c r="F12" i="10"/>
  <c r="Q46" i="10"/>
  <c r="T13" i="10"/>
  <c r="F52" i="10"/>
  <c r="F45" i="10"/>
  <c r="F53" i="10"/>
  <c r="C11" i="16" s="1"/>
  <c r="F39" i="10"/>
  <c r="F42" i="10"/>
  <c r="T53" i="10"/>
  <c r="F11" i="16" s="1"/>
  <c r="T39" i="10"/>
  <c r="T52" i="10"/>
  <c r="T46" i="10"/>
  <c r="T42" i="10"/>
  <c r="X52" i="10"/>
  <c r="X46" i="10"/>
  <c r="X42" i="10"/>
  <c r="X53" i="10"/>
  <c r="G11" i="16" s="1"/>
  <c r="X39" i="10"/>
  <c r="K12" i="10"/>
  <c r="K52" i="10"/>
  <c r="K45" i="10"/>
  <c r="K42" i="10"/>
  <c r="K39" i="10"/>
  <c r="K53" i="10"/>
  <c r="D11" i="16" s="1"/>
  <c r="X48" i="10" l="1"/>
  <c r="X51" i="10" s="1"/>
  <c r="X47" i="10"/>
  <c r="K48" i="10"/>
  <c r="K51" i="10" s="1"/>
  <c r="K47" i="10"/>
  <c r="F48" i="10"/>
  <c r="F51" i="10" s="1"/>
  <c r="F47" i="10"/>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<sst xmlns="http://schemas.openxmlformats.org/spreadsheetml/2006/main" count="570" uniqueCount="508">
  <si>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</si>
  <si>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</si>
  <si>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</si>
  <si>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</si>
  <si>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</si>
  <si>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</si>
  <si>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</si>
  <si>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</si>
  <si>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</si>
  <si>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</si>
  <si>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</si>
  <si>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</si>
  <si>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</si>
  <si>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</si>
  <si>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</si>
  <si>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</si>
  <si>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</si>
  <si>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</si>
  <si>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</si>
  <si>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</si>
  <si>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</si>
  <si>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</si>
  <si>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</si>
  <si>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</si>
  <si>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</si>
  <si>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</si>
  <si>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</si>
  <si>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</si>
  <si>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</si>
  <si>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</si>
  <si>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</si>
  <si>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</si>
  <si>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</si>
  <si>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</si>
  <si>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</si>
  <si>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</si>
  <si>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</si>
  <si>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</si>
  <si>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</si>
  <si>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</si>
  <si>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</si>
  <si>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</si>
  <si>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</si>
  <si>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</si>
  <si>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</si>
  <si>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</si>
  <si>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</si>
  <si>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</si>
  <si>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</si>
  <si>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</si>
  <si>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</si>
  <si>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</si>
  <si>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</si>
  <si>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</si>
  <si>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</si>
  <si>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</si>
  <si>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</si>
  <si>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</si>
  <si>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</si>
  <si>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</si>
  <si>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</si>
  <si>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</si>
  <si>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</si>
  <si>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</si>
  <si>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</si>
  <si>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</si>
  <si>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</si>
  <si>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</si>
  <si>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</si>
  <si>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</si>
  <si>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</si>
  <si>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</si>
  <si>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</si>
  <si>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</si>
  <si>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</si>
  <si>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</si>
  <si>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</si>
  <si>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</si>
  <si>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</si>
  <si>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</si>
  <si>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</si>
  <si>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</si>
  <si>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</si>
  <si>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</si>
  <si>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</si>
  <si>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</si>
  <si>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</si>
  <si>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</si>
  <si>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</si>
  <si>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</si>
  <si>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</si>
  <si>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</si>
  <si>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</si>
  <si>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</si>
  <si>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</si>
  <si>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</si>
  <si>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</si>
  <si>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</si>
  <si>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</si>
  <si>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</si>
  <si>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</si>
  <si>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</si>
  <si>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</si>
  <si>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</si>
  <si>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</si>
  <si>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</si>
  <si>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</si>
  <si>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</si>
  <si>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</si>
  <si>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</si>
  <si>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</si>
  <si>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</si>
  <si>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</si>
  <si>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</si>
  <si>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</si>
  <si>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</si>
  <si>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</si>
  <si>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</si>
  <si>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</si>
  <si>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</si>
  <si>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</si>
  <si>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</si>
  <si>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</si>
  <si>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</si>
  <si>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</si>
  <si>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</si>
  <si>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</si>
  <si>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</si>
  <si>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</si>
  <si>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</si>
  <si>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</si>
  <si>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</si>
  <si>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</si>
  <si>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</si>
  <si>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</si>
  <si>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</si>
  <si>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</si>
  <si>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</si>
  <si>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</si>
  <si>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</si>
  <si>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</si>
  <si>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</si>
  <si>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</si>
  <si>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</si>
  <si>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</si>
  <si>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</si>
  <si>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</si>
  <si>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</si>
  <si>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</si>
  <si>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</si>
  <si>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</si>
  <si>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</si>
  <si>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</si>
  <si>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</si>
  <si>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</si>
  <si>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</si>
  <si>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</si>
  <si>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</si>
  <si>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</si>
  <si>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</si>
  <si>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</si>
  <si>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</si>
  <si>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</si>
  <si>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</si>
  <si>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</si>
  <si>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</si>
  <si>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</si>
  <si>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</si>
  <si>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</si>
  <si>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</si>
  <si>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</si>
  <si>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</si>
  <si>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</si>
  <si>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</si>
  <si>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</si>
  <si>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</si>
  <si>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</si>
  <si>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</si>
  <si>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</si>
  <si>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</si>
  <si>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</si>
  <si>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</si>
  <si>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</si>
  <si>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</si>
  <si>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</si>
  <si>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</si>
  <si>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</si>
  <si>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</si>
  <si>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</si>
  <si>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</si>
  <si>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</si>
  <si>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</si>
  <si>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</si>
  <si>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</si>
  <si>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</si>
  <si>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</si>
  <si>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</si>
  <si>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</si>
  <si>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</si>
  <si>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</si>
  <si>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</si>
  <si>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</si>
  <si>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</si>
  <si>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</si>
  <si>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</si>
  <si>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</si>
  <si>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</si>
  <si>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</si>
  <si>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</si>
  <si>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</si>
  <si>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</si>
  <si>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</si>
  <si>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</si>
  <si>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</si>
  <si>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</si>
  <si>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</si>
  <si>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</si>
  <si>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</si>
  <si>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</si>
  <si>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</si>
  <si>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</si>
  <si>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</si>
  <si>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</si>
  <si>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</si>
  <si>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</si>
  <si>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</si>
  <si>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</si>
  <si>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</si>
  <si>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</si>
  <si>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</si>
  <si>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</si>
  <si>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</si>
  <si>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</si>
  <si>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</si>
  <si>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</si>
  <si>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</si>
  <si>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</si>
  <si>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</si>
  <si>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</si>
  <si>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</si>
  <si>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</si>
  <si>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</si>
  <si>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</si>
  <si>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</si>
  <si>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</si>
  <si>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</si>
  <si>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</si>
  <si>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</si>
  <si>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</si>
  <si>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</si>
  <si>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</si>
  <si>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</si>
  <si>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</si>
  <si>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</si>
  <si>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</si>
  <si>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</si>
  <si>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</si>
  <si>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</si>
  <si>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</si>
  <si>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</si>
  <si>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</si>
  <si>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</si>
  <si>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</si>
  <si>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</si>
  <si>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</si>
  <si>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</si>
  <si>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</si>
  <si>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</si>
  <si>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</si>
  <si>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</si>
  <si>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</si>
  <si>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</si>
  <si>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</si>
  <si>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</si>
  <si>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</si>
  <si>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</si>
  <si>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</si>
  <si>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</si>
  <si>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</si>
  <si>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</si>
  <si>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</si>
  <si>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</si>
  <si>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</si>
  <si>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</si>
  <si>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</si>
  <si>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</si>
  <si>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</si>
  <si>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</si>
  <si>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</si>
  <si>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</si>
  <si>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</si>
  <si>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</si>
  <si>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</si>
  <si>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</si>
  <si>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</si>
  <si>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</si>
  <si>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</si>
  <si>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</si>
  <si>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</si>
  <si>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</si>
  <si>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</si>
  <si>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</si>
  <si>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</si>
  <si>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</si>
  <si>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</si>
  <si>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</si>
  <si>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</si>
  <si>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</si>
  <si>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</si>
  <si>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</si>
  <si>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</si>
  <si>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</si>
  <si>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</si>
  <si>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</si>
  <si>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</si>
  <si>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</si>
  <si>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</si>
  <si>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</si>
  <si>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</si>
  <si>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</si>
  <si>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</si>
  <si>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</si>
  <si>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</si>
  <si>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</si>
  <si>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</si>
  <si>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</si>
  <si>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</si>
  <si>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</si>
  <si>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</si>
  <si>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</si>
  <si>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</si>
  <si>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</si>
  <si>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</si>
  <si>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</si>
  <si>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</si>
  <si>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</si>
  <si>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</si>
  <si>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</si>
  <si>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</si>
  <si>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</si>
  <si>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</si>
  <si>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</si>
  <si>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</si>
  <si>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</si>
  <si>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</si>
  <si>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</si>
  <si>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</si>
  <si>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</si>
  <si>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</si>
  <si>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</si>
  <si>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</si>
  <si>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</si>
  <si>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</si>
  <si>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</si>
  <si>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</si>
  <si>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</si>
  <si>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</si>
  <si>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</si>
  <si>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</si>
  <si>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</si>
  <si>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</si>
  <si>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</si>
  <si>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</si>
  <si>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</si>
  <si>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</si>
  <si>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</si>
  <si>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</si>
  <si>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</si>
  <si>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</si>
  <si>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</si>
  <si>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</si>
  <si>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</si>
  <si>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</si>
  <si>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</si>
  <si>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</si>
  <si>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</si>
  <si>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</si>
  <si>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</si>
  <si>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</si>
  <si>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</si>
  <si>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</si>
  <si>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</si>
  <si>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</si>
  <si>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</si>
  <si>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</si>
  <si>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</si>
  <si>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</si>
  <si>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</si>
  <si>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</si>
  <si>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</si>
  <si>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</si>
  <si>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</si>
  <si>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</si>
  <si>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</si>
  <si>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</si>
  <si>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</si>
  <si>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</si>
  <si>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</si>
  <si>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</si>
  <si>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</si>
  <si>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</si>
  <si>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</si>
  <si>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</si>
  <si>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</si>
  <si>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</si>
  <si>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</si>
  <si>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</si>
  <si>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</si>
  <si>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</si>
  <si>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</si>
  <si>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</si>
  <si>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</si>
  <si>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</si>
  <si>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</si>
  <si>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</si>
  <si>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</si>
  <si>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</si>
  <si>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</si>
  <si>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</si>
  <si>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</si>
  <si>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</si>
  <si>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</si>
  <si>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</si>
  <si>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</si>
  <si>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</si>
  <si>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</si>
  <si>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</si>
  <si>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</si>
  <si>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</si>
  <si>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</si>
  <si>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</si>
  <si>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</si>
  <si>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</si>
  <si>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</si>
  <si>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</si>
  <si>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</si>
  <si>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</si>
  <si>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</si>
  <si>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</si>
  <si>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</si>
  <si>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</si>
  <si>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</si>
  <si>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</si>
  <si>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</si>
  <si>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</si>
  <si>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</si>
  <si>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</si>
  <si>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</si>
  <si>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</si>
  <si>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</si>
  <si>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</si>
  <si>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</si>
  <si>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</si>
  <si>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</si>
  <si>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</si>
  <si>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</si>
  <si>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</si>
  <si>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</si>
  <si>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</si>
  <si>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</si>
  <si>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</si>
  <si>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</si>
  <si>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</si>
  <si>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</si>
  <si>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</si>
  <si>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</si>
  <si>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</si>
  <si>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</si>
  <si>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</si>
  <si>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</si>
  <si>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</si>
  <si>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</si>
  <si>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</si>
  <si>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</si>
  <si>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</si>
  <si>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</si>
  <si>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</si>
  <si>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</si>
  <si>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</si>
  <si>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</si>
  <si>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</si>
  <si>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</si>
  <si>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</si>
  <si>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</si>
  <si>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</si>
  <si>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</si>
  <si>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</si>
  <si>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</si>
  <si>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</si>
  <si>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</si>
  <si>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</si>
  <si>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</si>
  <si>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</si>
  <si>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</si>
  <si>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</si>
  <si>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</si>
  <si>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</si>
  <si>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</si>
  <si>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</si>
  <si>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</si>
  <si>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</si>
  <si>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</si>
  <si>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</si>
  <si>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</si>
  <si>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</si>
  <si>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94245</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</si>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</sst>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8108403</v>
      </c>
      <c r="Q5" s="219">
        <f>SUM('Pt 2 Premium and Claims'!Q$5,'Pt 2 Premium and Claims'!Q$6,-'Pt 2 Premium and Claims'!Q$7,-'Pt 2 Premium and Claims'!Q$13,'Pt 2 Premium and Claims'!Q$14)</f>
        <v>8128694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6912661</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229</v>
      </c>
      <c r="Q7" s="223">
        <v>229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195</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27518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-360</v>
      </c>
      <c r="E12" s="219">
        <f>'Pt 2 Premium and Claims'!E$54</f>
        <v>118</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7165847</v>
      </c>
      <c r="Q12" s="219">
        <f>'Pt 2 Premium and Claims'!Q$54</f>
        <v>6966483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4335774</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551448</v>
      </c>
      <c r="Q13" s="223">
        <v>550108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733</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178973</v>
      </c>
      <c r="Q14" s="223">
        <v>220687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4032</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1160</v>
      </c>
      <c r="Q15" s="223">
        <v>490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-38</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92</v>
      </c>
      <c r="E25" s="223">
        <v>92</v>
      </c>
      <c r="F25" s="223"/>
      <c r="G25" s="223"/>
      <c r="H25" s="223"/>
      <c r="I25" s="222">
        <v>0</v>
      </c>
      <c r="J25" s="222">
        <v>0</v>
      </c>
      <c r="K25" s="223">
        <v>0</v>
      </c>
      <c r="L25" s="223"/>
      <c r="M25" s="223"/>
      <c r="N25" s="223"/>
      <c r="O25" s="222"/>
      <c r="P25" s="222">
        <v>5824</v>
      </c>
      <c r="Q25" s="223">
        <v>5824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631887</v>
      </c>
      <c r="AU25" s="226">
        <v>0</v>
      </c>
      <c r="AV25" s="226">
        <v>-667741</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7524</v>
      </c>
      <c r="Q26" s="223">
        <v>7524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205047</v>
      </c>
      <c r="Q27" s="223">
        <v>205047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67003</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28653</v>
      </c>
      <c r="Q28" s="223">
        <v>28653</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9116</v>
      </c>
      <c r="AU28" s="226">
        <v>0</v>
      </c>
      <c r="AV28" s="226">
        <v>215112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25401</v>
      </c>
      <c r="Q30" s="223">
        <v>25401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21348</v>
      </c>
      <c r="AU30" s="226">
        <v>0</v>
      </c>
      <c r="AV30" s="226">
        <v>5624</v>
      </c>
      <c r="AW30" s="303"/>
    </row>
    <row r="31" spans="1:49" x14ac:dyDescent="0.2">
      <c r="B31" s="248" t="s">
        <v>247</v>
      </c>
      <c r="C31" s="209"/>
      <c r="D31" s="222">
        <v>0</v>
      </c>
      <c r="E31" s="223">
        <v>0</v>
      </c>
      <c r="F31" s="223"/>
      <c r="G31" s="223"/>
      <c r="H31" s="223"/>
      <c r="I31" s="222">
        <v>0</v>
      </c>
      <c r="J31" s="222">
        <v>0</v>
      </c>
      <c r="K31" s="223">
        <v>0</v>
      </c>
      <c r="L31" s="223"/>
      <c r="M31" s="223"/>
      <c r="N31" s="223"/>
      <c r="O31" s="222"/>
      <c r="P31" s="222">
        <v>139363</v>
      </c>
      <c r="Q31" s="223">
        <v>139363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118877</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151081</v>
      </c>
      <c r="Q34" s="223">
        <v>151081</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-10</v>
      </c>
      <c r="Q35" s="223">
        <v>-10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14</v>
      </c>
      <c r="AU35" s="226">
        <v>0</v>
      </c>
      <c r="AV35" s="226">
        <v>123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v>
      </c>
      <c r="E37" s="231">
        <v>1</v>
      </c>
      <c r="F37" s="231"/>
      <c r="G37" s="231"/>
      <c r="H37" s="231"/>
      <c r="I37" s="230">
        <v>0</v>
      </c>
      <c r="J37" s="230">
        <v>0</v>
      </c>
      <c r="K37" s="231">
        <v>0</v>
      </c>
      <c r="L37" s="231"/>
      <c r="M37" s="231"/>
      <c r="N37" s="231"/>
      <c r="O37" s="230"/>
      <c r="P37" s="230">
        <v>8320</v>
      </c>
      <c r="Q37" s="231">
        <v>8344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33</v>
      </c>
      <c r="AU37" s="232">
        <v>0</v>
      </c>
      <c r="AV37" s="232">
        <v>225748</v>
      </c>
      <c r="AW37" s="302"/>
    </row>
    <row r="38" spans="1:49" x14ac:dyDescent="0.2">
      <c r="B38" s="245" t="s">
        <v>254</v>
      </c>
      <c r="C38" s="209" t="s">
        <v>16</v>
      </c>
      <c r="D38" s="222">
        <v>1</v>
      </c>
      <c r="E38" s="223">
        <v>1</v>
      </c>
      <c r="F38" s="223"/>
      <c r="G38" s="223"/>
      <c r="H38" s="223"/>
      <c r="I38" s="222">
        <v>0</v>
      </c>
      <c r="J38" s="222">
        <v>0</v>
      </c>
      <c r="K38" s="223">
        <v>0</v>
      </c>
      <c r="L38" s="223"/>
      <c r="M38" s="223"/>
      <c r="N38" s="223"/>
      <c r="O38" s="222"/>
      <c r="P38" s="222">
        <v>1858</v>
      </c>
      <c r="Q38" s="223">
        <v>1848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32286</v>
      </c>
      <c r="AW38" s="303"/>
    </row>
    <row r="39" spans="1:49" x14ac:dyDescent="0.2">
      <c r="B39" s="248" t="s">
        <v>255</v>
      </c>
      <c r="C39" s="209" t="s">
        <v>17</v>
      </c>
      <c r="D39" s="222">
        <v>1</v>
      </c>
      <c r="E39" s="223">
        <v>1</v>
      </c>
      <c r="F39" s="223"/>
      <c r="G39" s="223"/>
      <c r="H39" s="223"/>
      <c r="I39" s="222">
        <v>0</v>
      </c>
      <c r="J39" s="222">
        <v>0</v>
      </c>
      <c r="K39" s="223">
        <v>0</v>
      </c>
      <c r="L39" s="223"/>
      <c r="M39" s="223"/>
      <c r="N39" s="223"/>
      <c r="O39" s="222"/>
      <c r="P39" s="222">
        <v>4867</v>
      </c>
      <c r="Q39" s="223">
        <v>5005</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26</v>
      </c>
      <c r="AU39" s="226">
        <v>0</v>
      </c>
      <c r="AV39" s="226">
        <v>5492</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225</v>
      </c>
      <c r="Q40" s="223">
        <v>227</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97</v>
      </c>
      <c r="AU40" s="226">
        <v>0</v>
      </c>
      <c r="AV40" s="226">
        <v>35366</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4116</v>
      </c>
      <c r="Q41" s="223">
        <v>4118</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669</v>
      </c>
      <c r="AU41" s="226">
        <v>0</v>
      </c>
      <c r="AV41" s="226">
        <v>100282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439</v>
      </c>
      <c r="Q42" s="223">
        <v>439</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4092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76</v>
      </c>
      <c r="E44" s="231">
        <v>76</v>
      </c>
      <c r="F44" s="231"/>
      <c r="G44" s="231"/>
      <c r="H44" s="231"/>
      <c r="I44" s="230">
        <v>0</v>
      </c>
      <c r="J44" s="230">
        <v>0</v>
      </c>
      <c r="K44" s="231">
        <v>0</v>
      </c>
      <c r="L44" s="231"/>
      <c r="M44" s="231"/>
      <c r="N44" s="231"/>
      <c r="O44" s="230"/>
      <c r="P44" s="230">
        <v>160755</v>
      </c>
      <c r="Q44" s="231">
        <v>159464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3868</v>
      </c>
      <c r="AU44" s="232">
        <v>0</v>
      </c>
      <c r="AV44" s="232">
        <v>1122471</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2089</v>
      </c>
      <c r="Q45" s="223">
        <v>2089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314</v>
      </c>
      <c r="AU45" s="226">
        <v>0</v>
      </c>
      <c r="AV45" s="226">
        <v>-975</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60765</v>
      </c>
      <c r="Q46" s="223">
        <v>60765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21790</v>
      </c>
      <c r="AU46" s="226">
        <v>0</v>
      </c>
      <c r="AV46" s="226">
        <v>359565</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180441</v>
      </c>
      <c r="Q47" s="223">
        <v>180441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173872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83</v>
      </c>
      <c r="AW50" s="303"/>
    </row>
    <row r="51" spans="2:49" x14ac:dyDescent="0.2">
      <c r="B51" s="245" t="s">
        <v>266</v>
      </c>
      <c r="C51" s="209"/>
      <c r="D51" s="222">
        <v>0</v>
      </c>
      <c r="E51" s="223">
        <v>0</v>
      </c>
      <c r="F51" s="223"/>
      <c r="G51" s="223"/>
      <c r="H51" s="223"/>
      <c r="I51" s="222">
        <v>0</v>
      </c>
      <c r="J51" s="222">
        <v>0</v>
      </c>
      <c r="K51" s="223">
        <v>0</v>
      </c>
      <c r="L51" s="223"/>
      <c r="M51" s="223"/>
      <c r="N51" s="223"/>
      <c r="O51" s="222"/>
      <c r="P51" s="222">
        <v>142503</v>
      </c>
      <c r="Q51" s="223">
        <v>142503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327225</v>
      </c>
      <c r="AU51" s="226">
        <v>0</v>
      </c>
      <c r="AV51" s="226">
        <v>5807190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690</v>
      </c>
      <c r="Q53" s="223">
        <v>690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1735</v>
      </c>
      <c r="AU53" s="226">
        <v>0</v>
      </c>
      <c r="AV53" s="226">
        <v>12055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5861492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1132</v>
      </c>
      <c r="Q56" s="235">
        <v>1132</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7135</v>
      </c>
      <c r="AU56" s="236">
        <v>0</v>
      </c>
      <c r="AV56" s="236">
        <v>31304</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2149</v>
      </c>
      <c r="Q57" s="238">
        <v>2149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14155</v>
      </c>
      <c r="AU57" s="239">
        <v>0</v>
      </c>
      <c r="AV57" s="239">
        <v>63897</v>
      </c>
      <c r="AW57" s="295"/>
    </row>
    <row r="58" spans="2:49" x14ac:dyDescent="0.2">
      <c r="B58" s="251" t="s">
        <v>273</v>
      </c>
      <c r="C58" s="209" t="s">
        <v>26</v>
      </c>
      <c r="D58" s="315"/>
      <c r="E58" s="316"/>
      <c r="F58" s="316"/>
      <c r="G58" s="316"/>
      <c r="H58" s="316"/>
      <c r="I58" s="315"/>
      <c r="J58" s="237">
        <v>0</v>
      </c>
      <c r="K58" s="238">
        <v>0</v>
      </c>
      <c r="L58" s="238"/>
      <c r="M58" s="238"/>
      <c r="N58" s="238"/>
      <c r="O58" s="237"/>
      <c r="P58" s="237">
        <v>9</v>
      </c>
      <c r="Q58" s="238">
        <v>9</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127</v>
      </c>
      <c r="AU58" s="239">
        <v>0</v>
      </c>
      <c r="AV58" s="239">
        <v>38</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24332</v>
      </c>
      <c r="Q59" s="238">
        <v>24332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168371</v>
      </c>
      <c r="AU59" s="239">
        <v>0</v>
      </c>
      <c r="AV59" s="239">
        <v>772612</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2027.6666666666667</v>
      </c>
      <c r="Q60" s="241">
        <f>Q$59/12</f>
        <v>2027.6666666666667</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14030.916666666666</v>
      </c>
      <c r="AU60" s="242">
        <f>AU$59/12</f>
        <v>0</v>
      </c>
      <c r="AV60" s="242">
        <f>AV$59/12</f>
        <v>64384.333333333336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273397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90095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-18463</v>
      </c>
      <c r="E5" s="332">
        <v>-18463</v>
      </c>
      <c r="F5" s="332"/>
      <c r="G5" s="334"/>
      <c r="H5" s="334"/>
      <c r="I5" s="331">
        <v>0</v>
      </c>
      <c r="J5" s="331">
        <v>0</v>
      </c>
      <c r="K5" s="332">
        <v>0</v>
      </c>
      <c r="L5" s="332"/>
      <c r="M5" s="332"/>
      <c r="N5" s="332"/>
      <c r="O5" s="331"/>
      <c r="P5" s="331">
        <v>8090244</v>
      </c>
      <c r="Q5" s="332">
        <v>8099395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6882322</v>
      </c>
      <c r="AU5" s="333">
        <v>0</v>
      </c>
      <c r="AV5" s="375"/>
      <c r="AW5" s="379"/>
    </row>
    <row r="6" spans="2:49" x14ac:dyDescent="0.2">
      <c r="B6" s="349" t="s">
        <v>278</v>
      </c>
      <c r="C6" s="337" t="s">
        <v>8</v>
      </c>
      <c r="D6" s="324">
        <v>18463</v>
      </c>
      <c r="E6" s="325">
        <v>18463</v>
      </c>
      <c r="F6" s="325"/>
      <c r="G6" s="326"/>
      <c r="H6" s="326"/>
      <c r="I6" s="324">
        <v>0</v>
      </c>
      <c r="J6" s="324">
        <v>0</v>
      </c>
      <c r="K6" s="325">
        <v>0</v>
      </c>
      <c r="L6" s="325"/>
      <c r="M6" s="325"/>
      <c r="N6" s="325"/>
      <c r="O6" s="324"/>
      <c r="P6" s="324">
        <v>5224</v>
      </c>
      <c r="Q6" s="325">
        <v>5224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347426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5504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317009</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-13408</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-13408</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569364</v>
      </c>
      <c r="Q11" s="325">
        <v>-232625</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801989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-18439</v>
      </c>
      <c r="Q13" s="325">
        <v>-24075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78</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234</v>
      </c>
      <c r="E23" s="368"/>
      <c r="F23" s="368"/>
      <c r="G23" s="368"/>
      <c r="H23" s="368"/>
      <c r="I23" s="370"/>
      <c r="J23" s="324">
        <v>0</v>
      </c>
      <c r="K23" s="368"/>
      <c r="L23" s="368"/>
      <c r="M23" s="368"/>
      <c r="N23" s="368"/>
      <c r="O23" s="370"/>
      <c r="P23" s="324">
        <v>6523916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4171311</v>
      </c>
      <c r="AU23" s="327">
        <v>0</v>
      </c>
      <c r="AV23" s="374"/>
      <c r="AW23" s="380"/>
    </row>
    <row r="24" spans="2:49" ht="28.5" customHeight="1" x14ac:dyDescent="0.2">
      <c r="B24" s="351" t="s">
        <v>114</v>
      </c>
      <c r="C24" s="337"/>
      <c r="D24" s="371"/>
      <c r="E24" s="325">
        <v>234</v>
      </c>
      <c r="F24" s="325"/>
      <c r="G24" s="325"/>
      <c r="H24" s="325"/>
      <c r="I24" s="324">
        <v>0</v>
      </c>
      <c r="J24" s="371"/>
      <c r="K24" s="325">
        <v>0</v>
      </c>
      <c r="L24" s="325"/>
      <c r="M24" s="325"/>
      <c r="N24" s="325"/>
      <c r="O24" s="324"/>
      <c r="P24" s="371"/>
      <c r="Q24" s="325">
        <v>6538401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1934318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661663</v>
      </c>
      <c r="AU26" s="327">
        <v>0</v>
      </c>
      <c r="AV26" s="374"/>
      <c r="AW26" s="380"/>
    </row>
    <row r="27" spans="2:49" s="11" customFormat="1" ht="25.5" x14ac:dyDescent="0.2">
      <c r="B27" s="351" t="s">
        <v>85</v>
      </c>
      <c r="C27" s="337"/>
      <c r="D27" s="371"/>
      <c r="E27" s="325">
        <v>-109</v>
      </c>
      <c r="F27" s="325"/>
      <c r="G27" s="325"/>
      <c r="H27" s="325"/>
      <c r="I27" s="324">
        <v>0</v>
      </c>
      <c r="J27" s="371"/>
      <c r="K27" s="325">
        <v>0</v>
      </c>
      <c r="L27" s="325"/>
      <c r="M27" s="325"/>
      <c r="N27" s="325"/>
      <c r="O27" s="324"/>
      <c r="P27" s="371"/>
      <c r="Q27" s="325">
        <v>671520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585</v>
      </c>
      <c r="E28" s="369"/>
      <c r="F28" s="369"/>
      <c r="G28" s="369"/>
      <c r="H28" s="369"/>
      <c r="I28" s="371"/>
      <c r="J28" s="324">
        <v>0</v>
      </c>
      <c r="K28" s="369"/>
      <c r="L28" s="369"/>
      <c r="M28" s="369"/>
      <c r="N28" s="369"/>
      <c r="O28" s="371"/>
      <c r="P28" s="324">
        <v>1065229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497200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9486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9486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7</v>
      </c>
      <c r="E36" s="325">
        <v>7</v>
      </c>
      <c r="F36" s="325"/>
      <c r="G36" s="325"/>
      <c r="H36" s="325"/>
      <c r="I36" s="324">
        <v>0</v>
      </c>
      <c r="J36" s="324">
        <v>0</v>
      </c>
      <c r="K36" s="325">
        <v>0</v>
      </c>
      <c r="L36" s="325"/>
      <c r="M36" s="325"/>
      <c r="N36" s="325"/>
      <c r="O36" s="324"/>
      <c r="P36" s="324">
        <v>8699</v>
      </c>
      <c r="Q36" s="325">
        <v>8699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-13408</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-13408</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569364</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-232625</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801989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1835</v>
      </c>
      <c r="Q45" s="325">
        <v>1830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43443</v>
      </c>
      <c r="Q49" s="325">
        <v>22</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59696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-360</v>
      </c>
      <c r="E54" s="329">
        <f>E24+E27+E31+E35-E36+E39+E42+E45+E46-E49+E51+E52+E53</f>
        <v>118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7165847</v>
      </c>
      <c r="Q54" s="329">
        <f>Q24+Q27+Q31+Q35-Q36+Q39+Q42+Q45+Q46-Q49+Q51+Q52+Q53</f>
        <v>6966483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4335774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3440462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-1468</v>
      </c>
      <c r="D6" s="404">
        <v>-58460</v>
      </c>
      <c r="E6" s="406">
        <f>SUM('Pt 1 Summary of Data'!E$12,'Pt 1 Summary of Data'!E$22)+SUM('Pt 1 Summary of Data'!G$12,'Pt 1 Summary of Data'!G$22)-SUM('Pt 1 Summary of Data'!H$12,'Pt 1 Summary of Data'!H$22)</f>
        <v>118</v>
      </c>
      <c r="F6" s="406">
        <f>SUM(C6:E6)</f>
        <v>-59810</v>
      </c>
      <c r="G6" s="407">
        <f>SUM('Pt 1 Summary of Data'!I$12,'Pt 1 Summary of Data'!I$22)</f>
        <v>0</v>
      </c>
      <c r="H6" s="403">
        <v>0</v>
      </c>
      <c r="I6" s="404">
        <v>-9</v>
      </c>
      <c r="J6" s="406">
        <f>SUM('Pt 1 Summary of Data'!K$12,'Pt 1 Summary of Data'!K$22)+SUM('Pt 1 Summary of Data'!M$12,'Pt 1 Summary of Data'!M$22)-SUM('Pt 1 Summary of Data'!N$12,'Pt 1 Summary of Data'!N$22)</f>
        <v>0</v>
      </c>
      <c r="K6" s="406">
        <f>SUM(H6:J6)</f>
        <v>-9</v>
      </c>
      <c r="L6" s="407">
        <f>SUM('Pt 1 Summary of Data'!O$12,'Pt 1 Summary of Data'!O$22)</f>
        <v>0</v>
      </c>
      <c r="M6" s="403">
        <v>7608696</v>
      </c>
      <c r="N6" s="404">
        <v>4534136</v>
      </c>
      <c r="O6" s="406">
        <f>SUM('Pt 1 Summary of Data'!Q$12,'Pt 1 Summary of Data'!Q$22)+SUM('Pt 1 Summary of Data'!S$12,'Pt 1 Summary of Data'!S$22)-SUM('Pt 1 Summary of Data'!T$12,'Pt 1 Summary of Data'!T$22)</f>
        <v>6966483</v>
      </c>
      <c r="P6" s="406">
        <f>SUM(M6:O6)</f>
        <v>19109315</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72</v>
      </c>
      <c r="D7" s="404">
        <v>4</v>
      </c>
      <c r="E7" s="406">
        <f>SUM('Pt 1 Summary of Data'!E$37:E$41)+SUM('Pt 1 Summary of Data'!G$37:G$41)-SUM('Pt 1 Summary of Data'!H$37:H$41)+MAX(0,MIN('Pt 1 Summary of Data'!E$42+'Pt 1 Summary of Data'!G$42-'Pt 1 Summary of Data'!H$42,0.3%*('Pt 1 Summary of Data'!E$5+'Pt 1 Summary of Data'!G$5-'Pt 1 Summary of Data'!H$5-SUM(E$9:E$11))))</f>
        <v>3</v>
      </c>
      <c r="F7" s="406">
        <f>SUM(C7:E7)</f>
        <v>79</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61938</v>
      </c>
      <c r="N7" s="404">
        <v>11466</v>
      </c>
      <c r="O7" s="406">
        <f>SUM('Pt 1 Summary of Data'!Q$37:Q$41)+SUM('Pt 1 Summary of Data'!S$37:S$41)-SUM('Pt 1 Summary of Data'!T$37:T$41)+MAX(0,MIN('Pt 1 Summary of Data'!Q$42+'Pt 1 Summary of Data'!S$42-'Pt 1 Summary of Data'!T$42,0.3%*('Pt 1 Summary of Data'!Q$5+'Pt 1 Summary of Data'!S$5-'Pt 1 Summary of Data'!T$5)))</f>
        <v>19981</v>
      </c>
      <c r="P7" s="406">
        <f>SUM(M7:O7)</f>
        <v>93385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-1396</v>
      </c>
      <c r="D12" s="406">
        <f>SUM(D$6:D$7) - SUM(D$8:D$11)+IF(AND(OR('Company Information'!$C$12="District of Columbia",'Company Information'!$C$12="Massachusetts",'Company Information'!$C$12="Vermont"),SUM($C$6:$F$11,$C$15:$F$16,$C$38:$D$38)&lt;&gt;0),SUM(I$6:I$7) - SUM(I$10:I$11),0)</f>
        <v>-58456</v>
      </c>
      <c r="E12" s="406">
        <f>SUM(E$6:E$7)-SUM(E$8:E$11)+IF(AND(OR('Company Information'!$C$12="District of Columbia",'Company Information'!$C$12="Massachusetts",'Company Information'!$C$12="Vermont"),SUM($C$6:$F$11,$C$15:$F$16,$C$38:$D$38)&lt;&gt;0),SUM(J$6:J$7)-SUM(J$10:J$11),0)</f>
        <v>121</v>
      </c>
      <c r="F12" s="406">
        <f>IFERROR(SUM(C$12:E$12)+C$17*MAX(0,E$50-C$50)+D$17*MAX(0,E$50-D$50),0)</f>
        <v>-59731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-9</v>
      </c>
      <c r="J12" s="406">
        <f>SUM(J$6:J$7)-SUM(J$10:J$11)+IF(AND(OR('Company Information'!$C$12="District of Columbia",'Company Information'!$C$12="Massachusetts",'Company Information'!$C$12="Vermont"),SUM($H$6:$K$11,$H$15:$K$16,$H$38:$I$38)&lt;&gt;0),SUM(E$6:E$7)-SUM(E$8:E$11),0)</f>
        <v>0</v>
      </c>
      <c r="K12" s="406">
        <f>IFERROR(SUM(H$12:J$12)+H$17*MAX(0,J$50-H$50)+I$17*MAX(0,J$50-I$50),0)</f>
        <v>-9</v>
      </c>
      <c r="L12" s="453"/>
      <c r="M12" s="405">
        <f>SUM(M$6:M$7)</f>
        <v>7670634</v>
      </c>
      <c r="N12" s="406">
        <f>SUM(N$6:N$7)</f>
        <v>4545602</v>
      </c>
      <c r="O12" s="406">
        <f>SUM(O$6:O$7)</f>
        <v>6986464</v>
      </c>
      <c r="P12" s="406">
        <f>SUM(M$12:O$12)+M$17*MAX(0,O$50-M$50)+N$17*MAX(0,O$50-N$50)</f>
        <v>19202700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28459</v>
      </c>
      <c r="D15" s="409">
        <v>1463</v>
      </c>
      <c r="E15" s="401">
        <f>SUM('Pt 1 Summary of Data'!E$5:E$7)+SUM('Pt 1 Summary of Data'!G$5:G$7)-SUM('Pt 1 Summary of Data'!H$5:H$7)-SUM(E$9:E$11)</f>
        <v>0</v>
      </c>
      <c r="F15" s="401">
        <f>SUM(C15:E15)</f>
        <v>29922</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10920634</v>
      </c>
      <c r="N15" s="409">
        <v>4725980</v>
      </c>
      <c r="O15" s="401">
        <f>SUM('Pt 1 Summary of Data'!Q$5:Q$7)+SUM('Pt 1 Summary of Data'!S$5:S$7)-SUM('Pt 1 Summary of Data'!T$5:T$7)+N$56</f>
        <v>8128923</v>
      </c>
      <c r="P15" s="401">
        <f>SUM(M15:O15)</f>
        <v>23775537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9874</v>
      </c>
      <c r="D16" s="404">
        <v>21868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92</v>
      </c>
      <c r="F16" s="406">
        <f>SUM(C16:E16)</f>
        <v>31834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3</v>
      </c>
      <c r="L16" s="407">
        <f>SUM('Pt 1 Summary of Data'!O$25:O$28,'Pt 1 Summary of Data'!O$30,'Pt 1 Summary of Data'!O$34:O$35)+IF('Company Information'!$C$15="No",IF(MAX('Pt 1 Summary of Data'!O$31:O$32)=0,MIN('Pt 1 Summary of Data'!O$31:O$32),MAX('Pt 1 Summary of Data'!O$31:O$32)),SUM('Pt 1 Summary of Data'!O$31:O$32))</f>
        <v>0</v>
      </c>
      <c r="M16" s="403">
        <v>1130652</v>
      </c>
      <c r="N16" s="404">
        <v>-92107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562883</v>
      </c>
      <c r="P16" s="406">
        <f>SUM(M16:O16)</f>
        <v>1601428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18585</v>
      </c>
      <c r="D17" s="406">
        <f>D$15-D$16+IF(AND(OR('Company Information'!$C$12="District of Columbia",'Company Information'!$C$12="Massachusetts",'Company Information'!$C$12="Vermont"),SUM($C$6:$F$11,$C$15:$F$16,$C$38:$D$38)&lt;&gt;0),I$15-I$16,0)</f>
        <v>-20405</v>
      </c>
      <c r="E17" s="406">
        <f>E$15-E$16+IF(AND(OR('Company Information'!$C$12="District of Columbia",'Company Information'!$C$12="Massachusetts",'Company Information'!$C$12="Vermont"),SUM($C$6:$F$11,$C$15:$F$16,$C$38:$D$38)&lt;&gt;0),J$15-J$16,0)</f>
        <v>-92</v>
      </c>
      <c r="F17" s="406">
        <f>F$15-F$16+IF(AND(OR('Company Information'!$C$12="District of Columbia",'Company Information'!$C$12="Massachusetts",'Company Information'!$C$12="Vermont"),SUM($C$6:$F$11,$C$15:$F$16,$C$38:$D$38)&lt;&gt;0),K$15-K$16,0)</f>
        <v>-1912</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-3</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-3</v>
      </c>
      <c r="L17" s="456"/>
      <c r="M17" s="405">
        <f>M$15-M$16</f>
        <v>9789982</v>
      </c>
      <c r="N17" s="406">
        <f>N$15-N$16</f>
        <v>4818087</v>
      </c>
      <c r="O17" s="406">
        <f>O$15-O$16</f>
        <v>7566040</v>
      </c>
      <c r="P17" s="406">
        <f>P$15-P$16</f>
        <v>22174109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3.55</v>
      </c>
      <c r="D38" s="411">
        <v>0.57750000000000001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4.1274999999999995</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2416.4391999999998</v>
      </c>
      <c r="N38" s="411">
        <v>1178.3375000000001</v>
      </c>
      <c r="O38" s="438">
        <f>('Pt 1 Summary of Data'!Q$59+'Pt 1 Summary of Data'!S$59-'Pt 1 Summary of Data'!T$59)/12</f>
        <v>2027.6666666666667</v>
      </c>
      <c r="P38" s="438">
        <f>SUM(M$38:O$38)</f>
        <v>5622.4433666666664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3.5630624593333333E-2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3.5630624593333333E-2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0.78351870309873906</v>
      </c>
      <c r="N45" s="442">
        <f>IF(OR(N$38&lt;1000,N$17&lt;=0),"",N$12/N$17)</f>
        <v>0.94344539648204773</v>
      </c>
      <c r="O45" s="442">
        <f>IF(OR(O$38&lt;1000,O$17&lt;=0),"",O$12/O$17)</f>
        <v>0.92339770870891513</v>
      </c>
      <c r="P45" s="442">
        <f>IF(OR(P$38&lt;1000,P$17&lt;=0),"",P$12/P$17)</f>
        <v>0.86599646461555679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3.5630624593333333E-2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0.90200000000000002</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0.90200000000000002</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7566040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21491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7867</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1132</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