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12" i="10"/>
  <c r="L35" i="10"/>
  <c r="L34" i="10"/>
  <c r="L22" i="10"/>
  <c r="L16" i="10"/>
  <c r="L10" i="10"/>
  <c r="L15" i="10" s="1"/>
  <c r="K49" i="10"/>
  <c r="K40" i="10"/>
  <c r="K10" i="10"/>
  <c r="J11" i="10"/>
  <c r="K11" i="10" s="1"/>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B11" i="18"/>
  <c r="AB10" i="18"/>
  <c r="AA55" i="18"/>
  <c r="AA54" i="18"/>
  <c r="AA12" i="18"/>
  <c r="AA11" i="18"/>
  <c r="AA9" i="18"/>
  <c r="Y56" i="18"/>
  <c r="Y55" i="18" s="1"/>
  <c r="Y22" i="4" s="1"/>
  <c r="Y36" i="18"/>
  <c r="Y35" i="18"/>
  <c r="Y54" i="18" s="1"/>
  <c r="Y12" i="4" s="1"/>
  <c r="W6" i="10" s="1"/>
  <c r="Y11" i="18"/>
  <c r="Y10" i="18"/>
  <c r="X55" i="18"/>
  <c r="X54" i="18"/>
  <c r="X12" i="18"/>
  <c r="X11" i="18"/>
  <c r="X9" i="18"/>
  <c r="V56" i="18"/>
  <c r="V55" i="18" s="1"/>
  <c r="V22" i="4" s="1"/>
  <c r="V36" i="18"/>
  <c r="V35" i="18"/>
  <c r="V54" i="18" s="1"/>
  <c r="V12" i="4" s="1"/>
  <c r="V11" i="18"/>
  <c r="V10" i="18"/>
  <c r="V6" i="18"/>
  <c r="U55" i="18"/>
  <c r="U54" i="18"/>
  <c r="U12" i="18"/>
  <c r="U11" i="18"/>
  <c r="U9" i="18"/>
  <c r="Q56" i="18"/>
  <c r="Q55" i="18" s="1"/>
  <c r="Q22" i="4" s="1"/>
  <c r="Q36" i="18"/>
  <c r="Q54" i="18" s="1"/>
  <c r="Q12" i="4" s="1"/>
  <c r="O6" i="10" s="1"/>
  <c r="Q35" i="18"/>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22" i="4"/>
  <c r="E7" i="4"/>
  <c r="E6" i="4"/>
  <c r="E5" i="4"/>
  <c r="E15" i="10" s="1"/>
  <c r="D60" i="4"/>
  <c r="D22" i="4"/>
  <c r="D12" i="4"/>
  <c r="D5" i="4"/>
  <c r="P15" i="10" l="1"/>
  <c r="P17" i="10" s="1"/>
  <c r="O17" i="10"/>
  <c r="O44" i="10"/>
  <c r="P37" i="10"/>
  <c r="L20" i="10"/>
  <c r="X37" i="10"/>
  <c r="P6" i="10"/>
  <c r="F15" i="10"/>
  <c r="F17" i="10" s="1"/>
  <c r="F37" i="10"/>
  <c r="AB37" i="10"/>
  <c r="J6" i="10"/>
  <c r="L29" i="10"/>
  <c r="L25" i="10"/>
  <c r="L21" i="10"/>
  <c r="L28" i="10"/>
  <c r="G29" i="10"/>
  <c r="K15" i="10"/>
  <c r="K37" i="10"/>
  <c r="C12" i="10"/>
  <c r="F6" i="10"/>
  <c r="E17" i="10" s="1"/>
  <c r="E44" i="10" s="1"/>
  <c r="S6" i="10"/>
  <c r="AA6" i="10"/>
  <c r="T37" i="10"/>
  <c r="T15" i="10"/>
  <c r="X6" i="10"/>
  <c r="J7" i="10"/>
  <c r="K7" i="10" s="1"/>
  <c r="M44" i="10"/>
  <c r="S7" i="10"/>
  <c r="T7" i="10" s="1"/>
  <c r="Z45" i="10"/>
  <c r="AA15" i="10"/>
  <c r="E7" i="10"/>
  <c r="F7" i="10" s="1"/>
  <c r="L19" i="10"/>
  <c r="L24" i="10" s="1"/>
  <c r="L23" i="10" s="1"/>
  <c r="O7" i="10"/>
  <c r="P7" i="10" s="1"/>
  <c r="W15" i="10"/>
  <c r="G7" i="10"/>
  <c r="G21" i="10" s="1"/>
  <c r="T51" i="10" l="1"/>
  <c r="T52" i="10" s="1"/>
  <c r="F11" i="16" s="1"/>
  <c r="T46" i="10"/>
  <c r="T38" i="10"/>
  <c r="T41" i="10"/>
  <c r="AB41" i="10"/>
  <c r="AB51" i="10"/>
  <c r="AB52" i="10" s="1"/>
  <c r="H11" i="16" s="1"/>
  <c r="AB46" i="10"/>
  <c r="AB38" i="10"/>
  <c r="T6" i="10"/>
  <c r="S17" i="10" s="1"/>
  <c r="S45" i="10" s="1"/>
  <c r="Q17" i="10"/>
  <c r="S13" i="10"/>
  <c r="R17" i="10"/>
  <c r="R45" i="10" s="1"/>
  <c r="Q13" i="10"/>
  <c r="R13" i="10"/>
  <c r="K51" i="10"/>
  <c r="K52" i="10" s="1"/>
  <c r="D11" i="16" s="1"/>
  <c r="K46" i="10"/>
  <c r="K41" i="10"/>
  <c r="G28" i="10"/>
  <c r="F51" i="10"/>
  <c r="F52" i="10" s="1"/>
  <c r="C11" i="16" s="1"/>
  <c r="F46" i="10"/>
  <c r="F44" i="10"/>
  <c r="F47" i="10" s="1"/>
  <c r="F50" i="10" s="1"/>
  <c r="F41" i="10"/>
  <c r="G20" i="10"/>
  <c r="D12" i="10"/>
  <c r="C17" i="10"/>
  <c r="G25" i="10"/>
  <c r="X41" i="10"/>
  <c r="X51" i="10"/>
  <c r="X52" i="10" s="1"/>
  <c r="G11" i="16" s="1"/>
  <c r="X46" i="10"/>
  <c r="X38" i="10"/>
  <c r="P51" i="10"/>
  <c r="P52" i="10" s="1"/>
  <c r="E11" i="16" s="1"/>
  <c r="P46" i="10"/>
  <c r="P38" i="10"/>
  <c r="P44" i="10"/>
  <c r="P47" i="10" s="1"/>
  <c r="P50" i="10" s="1"/>
  <c r="P41" i="10"/>
  <c r="AA13" i="10"/>
  <c r="AB6" i="10"/>
  <c r="AB13" i="10" s="1"/>
  <c r="D17" i="10"/>
  <c r="D44" i="10" s="1"/>
  <c r="L27" i="10"/>
  <c r="X15" i="10"/>
  <c r="AA17" i="10"/>
  <c r="AA45" i="10" s="1"/>
  <c r="AB15" i="10"/>
  <c r="AB17" i="10" s="1"/>
  <c r="AB45" i="10" s="1"/>
  <c r="AB47" i="10" s="1"/>
  <c r="AB50" i="10" s="1"/>
  <c r="T17" i="10"/>
  <c r="T45" i="10" s="1"/>
  <c r="T47" i="10" s="1"/>
  <c r="T50" i="10" s="1"/>
  <c r="G19" i="10"/>
  <c r="G24" i="10" s="1"/>
  <c r="G23" i="10" s="1"/>
  <c r="E12" i="10"/>
  <c r="K6" i="10"/>
  <c r="J17" i="10" s="1"/>
  <c r="J44" i="10" s="1"/>
  <c r="I17" i="10"/>
  <c r="I44" i="10" s="1"/>
  <c r="O12" i="10"/>
  <c r="P12" i="10" s="1"/>
  <c r="I12" i="10" l="1"/>
  <c r="X17" i="10"/>
  <c r="X45" i="10" s="1"/>
  <c r="X47" i="10" s="1"/>
  <c r="X50" i="10" s="1"/>
  <c r="W13" i="10"/>
  <c r="V13" i="10"/>
  <c r="V17" i="10"/>
  <c r="V45" i="10" s="1"/>
  <c r="H12" i="10"/>
  <c r="J12" i="10"/>
  <c r="U17" i="10"/>
  <c r="W17" i="10"/>
  <c r="W45" i="10" s="1"/>
  <c r="K17" i="10"/>
  <c r="K44" i="10" s="1"/>
  <c r="K47" i="10" s="1"/>
  <c r="K50" i="10" s="1"/>
  <c r="L31" i="10"/>
  <c r="L32" i="10" s="1"/>
  <c r="L33" i="10" s="1"/>
  <c r="L26" i="10"/>
  <c r="L30" i="10" s="1"/>
  <c r="F12" i="10"/>
  <c r="C44" i="10"/>
  <c r="F38" i="10" s="1"/>
  <c r="H17" i="10"/>
  <c r="G27" i="10"/>
  <c r="Q45" i="10"/>
  <c r="T13" i="10"/>
  <c r="U13" i="10"/>
  <c r="G26" i="10" l="1"/>
  <c r="G30" i="10" s="1"/>
  <c r="G31" i="10"/>
  <c r="G32" i="10" s="1"/>
  <c r="G33" i="10" s="1"/>
  <c r="U45" i="10"/>
  <c r="X13" i="10"/>
  <c r="H44" i="10"/>
  <c r="K38" i="10" s="1"/>
  <c r="K12" i="10"/>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<sst xmlns="http://schemas.openxmlformats.org/spreadsheetml/2006/main" count="568" uniqueCount="506">
  <si>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</si>
  <si>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</si>
  <si>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</si>
  <si>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</si>
  <si>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</si>
  <si>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</si>
  <si>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</si>
  <si>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</si>
  <si>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</si>
  <si>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</si>
  <si>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</si>
  <si>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</si>
  <si>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</si>
  <si>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</si>
  <si>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</si>
  <si>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</si>
  <si>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</si>
  <si>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</si>
  <si>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</si>
  <si>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</si>
  <si>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</si>
  <si>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</si>
  <si>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</si>
  <si>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</si>
  <si>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</si>
  <si>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</si>
  <si>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</si>
  <si>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</si>
  <si>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</si>
  <si>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</si>
  <si>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</si>
  <si>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</si>
  <si>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</si>
  <si>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</si>
  <si>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</si>
  <si>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</si>
  <si>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</si>
  <si>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</si>
  <si>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</si>
  <si>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</si>
  <si>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</si>
  <si>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</si>
  <si>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</si>
  <si>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</si>
  <si>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</si>
  <si>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</si>
  <si>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</si>
  <si>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</si>
  <si>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</si>
  <si>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</si>
  <si>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</si>
  <si>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</si>
  <si>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</si>
  <si>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</si>
  <si>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</si>
  <si>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</si>
  <si>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</si>
  <si>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</si>
  <si>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</si>
  <si>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</si>
  <si>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</si>
  <si>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</si>
  <si>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</si>
  <si>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</si>
  <si>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</si>
  <si>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</si>
  <si>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</si>
  <si>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</si>
  <si>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</si>
  <si>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</si>
  <si>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</si>
  <si>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</si>
  <si>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</si>
  <si>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</si>
  <si>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</si>
  <si>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</si>
  <si>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</si>
  <si>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</si>
  <si>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</si>
  <si>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</si>
  <si>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</si>
  <si>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</si>
  <si>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</si>
  <si>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</si>
  <si>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</si>
  <si>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</si>
  <si>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</si>
  <si>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</si>
  <si>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</si>
  <si>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</si>
  <si>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</si>
  <si>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</si>
  <si>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</si>
  <si>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</si>
  <si>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</si>
  <si>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</si>
  <si>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</si>
  <si>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</si>
  <si>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</si>
  <si>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</si>
  <si>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</si>
  <si>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</si>
  <si>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</si>
  <si>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</si>
  <si>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</si>
  <si>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</si>
  <si>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</si>
  <si>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</si>
  <si>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</si>
  <si>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</si>
  <si>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</si>
  <si>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</si>
  <si>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</si>
  <si>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</si>
  <si>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</si>
  <si>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</si>
  <si>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</si>
  <si>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</si>
  <si>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</si>
  <si>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</si>
  <si>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</si>
  <si>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</si>
  <si>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</si>
  <si>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</si>
  <si>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</si>
  <si>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</si>
  <si>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</si>
  <si>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</si>
  <si>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</si>
  <si>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</si>
  <si>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</si>
  <si>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</si>
  <si>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</si>
  <si>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</si>
  <si>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</si>
  <si>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</si>
  <si>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</si>
  <si>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</si>
  <si>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</si>
  <si>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</si>
  <si>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</si>
  <si>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</si>
  <si>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</si>
  <si>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</si>
  <si>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</si>
  <si>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</si>
  <si>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</si>
  <si>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</si>
  <si>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</si>
  <si>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</si>
  <si>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</si>
  <si>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</si>
  <si>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</si>
  <si>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</si>
  <si>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</si>
  <si>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</si>
  <si>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</si>
  <si>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</si>
  <si>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</si>
  <si>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</si>
  <si>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</si>
  <si>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</si>
  <si>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</si>
  <si>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</si>
  <si>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</si>
  <si>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</si>
  <si>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</si>
  <si>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</si>
  <si>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</si>
  <si>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</si>
  <si>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</si>
  <si>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</si>
  <si>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</si>
  <si>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</si>
  <si>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</si>
  <si>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</si>
  <si>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</si>
  <si>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</si>
  <si>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</si>
  <si>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</si>
  <si>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</si>
  <si>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</si>
  <si>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</si>
  <si>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</si>
  <si>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</si>
  <si>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</si>
  <si>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</si>
  <si>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</si>
  <si>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</si>
  <si>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</si>
  <si>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</si>
  <si>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</si>
  <si>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</si>
  <si>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</si>
  <si>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</si>
  <si>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</si>
  <si>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</si>
  <si>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</si>
  <si>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</si>
  <si>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</si>
  <si>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</si>
  <si>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</si>
  <si>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</si>
  <si>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</si>
  <si>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</si>
  <si>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</si>
  <si>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</si>
  <si>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</si>
  <si>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</si>
  <si>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</si>
  <si>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</si>
  <si>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</si>
  <si>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</si>
  <si>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</si>
  <si>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</si>
  <si>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</si>
  <si>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</si>
  <si>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</si>
  <si>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</si>
  <si>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</si>
  <si>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</si>
  <si>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</si>
  <si>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</si>
  <si>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</si>
  <si>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</si>
  <si>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</si>
  <si>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</si>
  <si>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</si>
  <si>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</si>
  <si>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</si>
  <si>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</si>
  <si>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</si>
  <si>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</si>
  <si>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</si>
  <si>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</si>
  <si>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</si>
  <si>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</si>
  <si>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</si>
  <si>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</si>
  <si>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</si>
  <si>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</si>
  <si>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</si>
  <si>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</si>
  <si>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</si>
  <si>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</si>
  <si>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</si>
  <si>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</si>
  <si>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</si>
  <si>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</si>
  <si>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</si>
  <si>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</si>
  <si>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</si>
  <si>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</si>
  <si>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</si>
  <si>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</si>
  <si>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</si>
  <si>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</si>
  <si>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</si>
  <si>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</si>
  <si>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</si>
  <si>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</si>
  <si>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</si>
  <si>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</si>
  <si>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</si>
  <si>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</si>
  <si>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</si>
  <si>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</si>
  <si>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</si>
  <si>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</si>
  <si>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</si>
  <si>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</si>
  <si>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</si>
  <si>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</si>
  <si>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</si>
  <si>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</si>
  <si>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</si>
  <si>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</si>
  <si>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</si>
  <si>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</si>
  <si>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</si>
  <si>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</si>
  <si>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</si>
  <si>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</si>
  <si>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</si>
  <si>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</si>
  <si>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</si>
  <si>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</si>
  <si>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</si>
  <si>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</si>
  <si>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</si>
  <si>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</si>
  <si>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</si>
  <si>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</si>
  <si>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</si>
  <si>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</si>
  <si>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</si>
  <si>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</si>
  <si>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</si>
  <si>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</si>
  <si>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</si>
  <si>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</si>
  <si>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</si>
  <si>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</si>
  <si>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</si>
  <si>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</si>
  <si>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</si>
  <si>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</si>
  <si>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</si>
  <si>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</si>
  <si>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</si>
  <si>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</si>
  <si>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</si>
  <si>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</si>
  <si>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</si>
  <si>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</si>
  <si>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</si>
  <si>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</si>
  <si>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</si>
  <si>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</si>
  <si>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</si>
  <si>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</si>
  <si>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</si>
  <si>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</si>
  <si>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</si>
  <si>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</si>
  <si>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</si>
  <si>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</si>
  <si>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</si>
  <si>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</si>
  <si>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</si>
  <si>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</si>
  <si>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</si>
  <si>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</si>
  <si>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</si>
  <si>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</si>
  <si>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</si>
  <si>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</si>
  <si>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</si>
  <si>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</si>
  <si>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</si>
  <si>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</si>
  <si>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</si>
  <si>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</si>
  <si>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</si>
  <si>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</si>
  <si>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</si>
  <si>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</si>
  <si>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</si>
  <si>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</si>
  <si>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</si>
  <si>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</si>
  <si>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</si>
  <si>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</si>
  <si>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</si>
  <si>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</si>
  <si>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</si>
  <si>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</si>
  <si>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</si>
  <si>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</si>
  <si>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</si>
  <si>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</si>
  <si>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</si>
  <si>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</si>
  <si>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</si>
  <si>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</si>
  <si>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</si>
  <si>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</si>
  <si>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</si>
  <si>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</si>
  <si>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</si>
  <si>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</si>
  <si>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</si>
  <si>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</si>
  <si>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</si>
  <si>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</si>
  <si>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</si>
  <si>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</si>
  <si>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</si>
  <si>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</si>
  <si>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</si>
  <si>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</si>
  <si>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</si>
  <si>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</si>
  <si>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</si>
  <si>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</si>
  <si>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</si>
  <si>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</si>
  <si>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</si>
  <si>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</si>
  <si>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</si>
  <si>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</si>
  <si>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</si>
  <si>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</si>
  <si>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</si>
  <si>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</si>
  <si>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</si>
  <si>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</si>
  <si>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</si>
  <si>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</si>
  <si>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</si>
  <si>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</si>
  <si>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</si>
  <si>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</si>
  <si>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</si>
  <si>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</si>
  <si>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</si>
  <si>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</si>
  <si>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</si>
  <si>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</si>
  <si>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</si>
  <si>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</si>
  <si>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</si>
  <si>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</si>
  <si>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</si>
  <si>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</si>
  <si>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</si>
  <si>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</si>
  <si>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</si>
  <si>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</si>
  <si>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</si>
  <si>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</si>
  <si>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</si>
  <si>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</si>
  <si>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</si>
  <si>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</si>
  <si>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</si>
  <si>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</si>
  <si>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</si>
  <si>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</si>
  <si>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</si>
  <si>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</si>
  <si>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</si>
  <si>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</si>
  <si>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</si>
  <si>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</si>
  <si>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</si>
  <si>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</si>
  <si>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</si>
  <si>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</si>
  <si>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</si>
  <si>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</si>
  <si>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</si>
  <si>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</si>
  <si>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</si>
  <si>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</si>
  <si>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</si>
  <si>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</si>
  <si>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</si>
  <si>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</si>
  <si>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</si>
  <si>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</si>
  <si>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</si>
  <si>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</si>
  <si>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</si>
  <si>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</si>
  <si>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</si>
  <si>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</si>
  <si>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</si>
  <si>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</si>
  <si>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</si>
  <si>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</si>
  <si>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</si>
  <si>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</si>
  <si>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</si>
  <si>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</si>
  <si>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</si>
  <si>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</si>
  <si>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</si>
  <si>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</si>
  <si>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</si>
  <si>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</si>
  <si>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</si>
  <si>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</si>
  <si>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</si>
  <si>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</si>
  <si>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</si>
  <si>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</si>
  <si>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</si>
  <si>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</si>
  <si>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</si>
  <si>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</si>
  <si>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</si>
  <si>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</si>
  <si>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</si>
  <si>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</si>
  <si>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</si>
  <si>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</si>
  <si>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</si>
  <si>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</si>
  <si>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</si>
  <si>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</si>
  <si>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</si>
  <si>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</si>
  <si>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</si>
  <si>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</si>
  <si>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</si>
  <si>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</si>
  <si>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</si>
  <si>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</si>
  <si>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</si>
  <si>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</si>
  <si>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</si>
  <si>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</si>
  <si>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60694</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</si>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</sst>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184</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0</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359342</v>
      </c>
      <c r="Q5" s="112">
        <f>'Pt 2 Premium and Claims'!Q5+'Pt 2 Premium and Claims'!Q6-'Pt 2 Premium and Claims'!Q7-'Pt 2 Premium and Claims'!Q13+'Pt 2 Premium and Claims'!Q14</f>
        <v>361002</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2440327</v>
      </c>
      <c r="AT5" s="113">
        <f>'Pt 2 Premium and Claims'!AT5+'Pt 2 Premium and Claims'!AT6-'Pt 2 Premium and Claims'!AT7-'Pt 2 Premium and Claims'!AT13+'Pt 2 Premium and Claims'!AT14</f>
        <v>23703</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-420</v>
      </c>
      <c r="Q7" s="116">
        <f>P7</f>
        <v>-420</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-28</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967</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-1817</v>
      </c>
      <c r="E12" s="112">
        <f>'Pt 2 Premium and Claims'!E54</f>
        <v>-731</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220198</v>
      </c>
      <c r="Q12" s="112">
        <f>'Pt 2 Premium and Claims'!Q54</f>
        <v>237362</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2086407</v>
      </c>
      <c r="AT12" s="113">
        <f>'Pt 2 Premium and Claims'!AT54</f>
        <v>18593</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0</v>
      </c>
      <c r="Q13" s="116">
        <v>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2778379</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0</v>
      </c>
      <c r="Q14" s="116">
        <v>0</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797654</v>
      </c>
      <c r="AT14" s="119">
        <v>0</v>
      </c>
      <c r="AU14" s="119">
        <v>0</v>
      </c>
      <c r="AV14" s="317"/>
      <c r="AW14" s="324"/>
    </row>
    <row r="15" spans="1:49" ht="38.25" x14ac:dyDescent="0.2">
      <c r="B15" s="161" t="s">
        <v>232</v>
      </c>
      <c r="C15" s="68" t="s">
        <v>7</v>
      </c>
      <c r="D15" s="115">
        <v>1</v>
      </c>
      <c r="E15" s="116">
        <v>0</v>
      </c>
      <c r="F15" s="116"/>
      <c r="G15" s="294"/>
      <c r="H15" s="300"/>
      <c r="I15" s="115">
        <v>0</v>
      </c>
      <c r="J15" s="115">
        <v>0</v>
      </c>
      <c r="K15" s="116">
        <v>0</v>
      </c>
      <c r="L15" s="116"/>
      <c r="M15" s="294"/>
      <c r="N15" s="300"/>
      <c r="O15" s="115">
        <v>0</v>
      </c>
      <c r="P15" s="115">
        <v>5</v>
      </c>
      <c r="Q15" s="116">
        <v>5</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-296</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739</v>
      </c>
      <c r="E25" s="116">
        <f>D25</f>
        <v>739</v>
      </c>
      <c r="F25" s="116"/>
      <c r="G25" s="116"/>
      <c r="H25" s="116"/>
      <c r="I25" s="115">
        <v>0</v>
      </c>
      <c r="J25" s="115">
        <v>0</v>
      </c>
      <c r="K25" s="116">
        <f>J25</f>
        <v>0</v>
      </c>
      <c r="L25" s="116"/>
      <c r="M25" s="116"/>
      <c r="N25" s="116"/>
      <c r="O25" s="115">
        <v>0</v>
      </c>
      <c r="P25" s="115">
        <v>26490</v>
      </c>
      <c r="Q25" s="116">
        <f>P25</f>
        <v>26490</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51958</v>
      </c>
      <c r="AT25" s="119">
        <v>-767</v>
      </c>
      <c r="AU25" s="119">
        <v>0</v>
      </c>
      <c r="AV25" s="119">
        <v>-91920</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741</v>
      </c>
      <c r="Q26" s="116">
        <f>P26</f>
        <v>741</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8848</v>
      </c>
      <c r="Q27" s="116">
        <f>P27</f>
        <v>8848</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36979</v>
      </c>
      <c r="AT27" s="119">
        <v>1443</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1565</v>
      </c>
      <c r="Q28" s="116">
        <f>P28</f>
        <v>1565</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1970</v>
      </c>
      <c r="AT28" s="119">
        <v>121</v>
      </c>
      <c r="AU28" s="119">
        <v>0</v>
      </c>
      <c r="AV28" s="119">
        <v>17571</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1133</v>
      </c>
      <c r="Q30" s="116">
        <f>P30</f>
        <v>1133</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74</v>
      </c>
      <c r="AU30" s="119">
        <v>0</v>
      </c>
      <c r="AV30" s="119">
        <v>547</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6278</v>
      </c>
      <c r="Q31" s="116">
        <f>P31</f>
        <v>6278</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414</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23491</v>
      </c>
      <c r="Q34" s="116">
        <f>P34</f>
        <v>23491</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758</v>
      </c>
      <c r="Q35" s="116">
        <f>P35</f>
        <v>758</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94</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237</v>
      </c>
      <c r="Q37" s="124">
        <v>237</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49432</v>
      </c>
      <c r="AT37" s="125">
        <v>1</v>
      </c>
      <c r="AU37" s="125">
        <v>0</v>
      </c>
      <c r="AV37" s="125">
        <v>21434</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9</v>
      </c>
      <c r="Q38" s="116">
        <v>9</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1739</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144</v>
      </c>
      <c r="Q39" s="116">
        <v>144</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1</v>
      </c>
      <c r="AU39" s="119">
        <v>0</v>
      </c>
      <c r="AV39" s="119">
        <v>607</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64</v>
      </c>
      <c r="Q40" s="116">
        <v>64</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3646</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225</v>
      </c>
      <c r="Q41" s="116">
        <v>225</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4</v>
      </c>
      <c r="AU41" s="119">
        <v>0</v>
      </c>
      <c r="AV41" s="119">
        <v>8525</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71</v>
      </c>
      <c r="Q42" s="116">
        <f>P42</f>
        <v>71</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1479</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8</v>
      </c>
      <c r="E44" s="124">
        <v>0</v>
      </c>
      <c r="F44" s="124"/>
      <c r="G44" s="124"/>
      <c r="H44" s="124"/>
      <c r="I44" s="123">
        <v>0</v>
      </c>
      <c r="J44" s="123">
        <v>0</v>
      </c>
      <c r="K44" s="124">
        <v>0</v>
      </c>
      <c r="L44" s="124"/>
      <c r="M44" s="124"/>
      <c r="N44" s="124"/>
      <c r="O44" s="123">
        <v>0</v>
      </c>
      <c r="P44" s="123">
        <v>4155</v>
      </c>
      <c r="Q44" s="124">
        <v>4197</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1</v>
      </c>
      <c r="AU44" s="125">
        <v>0</v>
      </c>
      <c r="AV44" s="125">
        <v>87230</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216</v>
      </c>
      <c r="Q45" s="116">
        <f>P45</f>
        <v>216</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100</v>
      </c>
      <c r="AT45" s="119">
        <v>12</v>
      </c>
      <c r="AU45" s="119">
        <v>0</v>
      </c>
      <c r="AV45" s="119">
        <v>132</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2231</v>
      </c>
      <c r="Q46" s="116">
        <f>P46</f>
        <v>2231</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86</v>
      </c>
      <c r="AU46" s="119">
        <v>0</v>
      </c>
      <c r="AV46" s="119">
        <v>29816</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7637</v>
      </c>
      <c r="Q47" s="116">
        <f>P47</f>
        <v>7637</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673</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-40</v>
      </c>
      <c r="Q49" s="116">
        <f>P49</f>
        <v>-40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50</v>
      </c>
      <c r="AU49" s="119">
        <v>0</v>
      </c>
      <c r="AV49" s="119">
        <v>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2640</v>
      </c>
      <c r="Q50" s="116">
        <f>P50</f>
        <v>2640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2113</v>
      </c>
      <c r="AT50" s="119">
        <v>235</v>
      </c>
      <c r="AU50" s="119">
        <v>0</v>
      </c>
      <c r="AV50" s="119">
        <v>0</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11268</v>
      </c>
      <c r="Q51" s="116">
        <f>P51</f>
        <v>11268</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162554</v>
      </c>
      <c r="AT51" s="119">
        <v>6490</v>
      </c>
      <c r="AU51" s="119">
        <v>0</v>
      </c>
      <c r="AV51" s="119">
        <v>523085</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79</v>
      </c>
      <c r="Q53" s="116">
        <f>P53</f>
        <v>79</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140</v>
      </c>
      <c r="AT53" s="119">
        <v>25</v>
      </c>
      <c r="AU53" s="119">
        <v>0</v>
      </c>
      <c r="AV53" s="119">
        <v>1850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432433</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72</v>
      </c>
      <c r="Q56" s="128">
        <f>P56</f>
        <v>72</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2124</v>
      </c>
      <c r="AT56" s="129">
        <v>233</v>
      </c>
      <c r="AU56" s="129">
        <v>0</v>
      </c>
      <c r="AV56" s="129">
        <v>3749</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102</v>
      </c>
      <c r="Q57" s="131">
        <f>P57</f>
        <v>102</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2124</v>
      </c>
      <c r="AT57" s="132">
        <v>360</v>
      </c>
      <c r="AU57" s="132">
        <v>0</v>
      </c>
      <c r="AV57" s="132">
        <v>5668</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1</v>
      </c>
      <c r="Q58" s="131">
        <f>P58</f>
        <v>1</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1</v>
      </c>
      <c r="AU58" s="132">
        <v>0</v>
      </c>
      <c r="AV58" s="132">
        <v>3</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1409</v>
      </c>
      <c r="Q59" s="131">
        <v>1409</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24796</v>
      </c>
      <c r="AT59" s="132">
        <v>4416</v>
      </c>
      <c r="AU59" s="132">
        <v>0</v>
      </c>
      <c r="AV59" s="132">
        <v>65915</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117.41666666666667</v>
      </c>
      <c r="Q60" s="134">
        <f>Q59/12</f>
        <v>117.41666666666667</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2066.3333333333335</v>
      </c>
      <c r="AT60" s="135">
        <f>AT59/12</f>
        <v>368</v>
      </c>
      <c r="AU60" s="135">
        <f>AU59/12</f>
        <v>0</v>
      </c>
      <c r="AV60" s="135">
        <f>AV59/12</f>
        <v>5492.916666666667</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32048</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10867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1298</v>
      </c>
      <c r="E5" s="124">
        <v>0</v>
      </c>
      <c r="F5" s="124"/>
      <c r="G5" s="136"/>
      <c r="H5" s="136"/>
      <c r="I5" s="123">
        <v>0</v>
      </c>
      <c r="J5" s="123">
        <v>0</v>
      </c>
      <c r="K5" s="124">
        <v>0</v>
      </c>
      <c r="L5" s="124"/>
      <c r="M5" s="124"/>
      <c r="N5" s="124"/>
      <c r="O5" s="123">
        <v>0</v>
      </c>
      <c r="P5" s="123">
        <v>365707</v>
      </c>
      <c r="Q5" s="124">
        <v>360031</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2441092</v>
      </c>
      <c r="AT5" s="125">
        <v>42623</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971</v>
      </c>
      <c r="Q6" s="116">
        <v>971</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6446</v>
      </c>
      <c r="AT6" s="119">
        <v>16</v>
      </c>
      <c r="AU6" s="119">
        <v>0</v>
      </c>
      <c r="AV6" s="317"/>
      <c r="AW6" s="324"/>
    </row>
    <row r="7" spans="2:49" x14ac:dyDescent="0.2">
      <c r="B7" s="182" t="s">
        <v>280</v>
      </c>
      <c r="C7" s="139" t="s">
        <v>9</v>
      </c>
      <c r="D7" s="115">
        <v>1298</v>
      </c>
      <c r="E7" s="116"/>
      <c r="F7" s="116"/>
      <c r="G7" s="117"/>
      <c r="H7" s="117"/>
      <c r="I7" s="115"/>
      <c r="J7" s="115">
        <v>0</v>
      </c>
      <c r="K7" s="116"/>
      <c r="L7" s="116"/>
      <c r="M7" s="116"/>
      <c r="N7" s="116"/>
      <c r="O7" s="115"/>
      <c r="P7" s="115">
        <v>7336</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7211</v>
      </c>
      <c r="AT7" s="119">
        <v>18936</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2111</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2111</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-2831</v>
      </c>
      <c r="F11" s="116"/>
      <c r="G11" s="116"/>
      <c r="H11" s="116"/>
      <c r="I11" s="115">
        <f>0</f>
        <v>0</v>
      </c>
      <c r="J11" s="115">
        <f>J41</f>
        <v>0</v>
      </c>
      <c r="K11" s="116">
        <f>K42</f>
        <v>0</v>
      </c>
      <c r="L11" s="116"/>
      <c r="M11" s="116"/>
      <c r="N11" s="116"/>
      <c r="O11" s="115">
        <f>0</f>
        <v>0</v>
      </c>
      <c r="P11" s="115">
        <f>P41</f>
        <v>217754</v>
      </c>
      <c r="Q11" s="116">
        <f>Q42</f>
        <v>43030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2831</v>
      </c>
      <c r="E12" s="295"/>
      <c r="F12" s="295"/>
      <c r="G12" s="295"/>
      <c r="H12" s="295"/>
      <c r="I12" s="299"/>
      <c r="J12" s="115">
        <f>J43</f>
        <v>0</v>
      </c>
      <c r="K12" s="295"/>
      <c r="L12" s="295"/>
      <c r="M12" s="295"/>
      <c r="N12" s="295"/>
      <c r="O12" s="299"/>
      <c r="P12" s="115">
        <f>P43</f>
        <v>174723</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v>
      </c>
      <c r="E23" s="294"/>
      <c r="F23" s="294"/>
      <c r="G23" s="294"/>
      <c r="H23" s="294"/>
      <c r="I23" s="298"/>
      <c r="J23" s="115">
        <v>0</v>
      </c>
      <c r="K23" s="294"/>
      <c r="L23" s="294"/>
      <c r="M23" s="294"/>
      <c r="N23" s="294"/>
      <c r="O23" s="298"/>
      <c r="P23" s="115">
        <v>256906</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2479835</v>
      </c>
      <c r="AT23" s="119">
        <v>19888</v>
      </c>
      <c r="AU23" s="119">
        <v>0</v>
      </c>
      <c r="AV23" s="317"/>
      <c r="AW23" s="324"/>
    </row>
    <row r="24" spans="2:49" ht="28.5" customHeight="1" x14ac:dyDescent="0.2">
      <c r="B24" s="184" t="s">
        <v>114</v>
      </c>
      <c r="C24" s="139"/>
      <c r="D24" s="299"/>
      <c r="E24" s="116">
        <v>-5</v>
      </c>
      <c r="F24" s="116"/>
      <c r="G24" s="116"/>
      <c r="H24" s="116"/>
      <c r="I24" s="115">
        <v>0</v>
      </c>
      <c r="J24" s="299"/>
      <c r="K24" s="116">
        <v>0</v>
      </c>
      <c r="L24" s="116"/>
      <c r="M24" s="116"/>
      <c r="N24" s="116"/>
      <c r="O24" s="115">
        <v>0</v>
      </c>
      <c r="P24" s="299"/>
      <c r="Q24" s="116">
        <v>256906</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176323</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108722</v>
      </c>
      <c r="AT26" s="119">
        <v>1026</v>
      </c>
      <c r="AU26" s="119">
        <v>0</v>
      </c>
      <c r="AV26" s="317"/>
      <c r="AW26" s="324"/>
    </row>
    <row r="27" spans="2:49" s="11" customFormat="1" ht="25.5" x14ac:dyDescent="0.2">
      <c r="B27" s="184" t="s">
        <v>85</v>
      </c>
      <c r="C27" s="139"/>
      <c r="D27" s="299"/>
      <c r="E27" s="116">
        <v>0</v>
      </c>
      <c r="F27" s="116"/>
      <c r="G27" s="116"/>
      <c r="H27" s="116"/>
      <c r="I27" s="115">
        <v>0</v>
      </c>
      <c r="J27" s="299"/>
      <c r="K27" s="116">
        <v>0</v>
      </c>
      <c r="L27" s="116"/>
      <c r="M27" s="116"/>
      <c r="N27" s="116"/>
      <c r="O27" s="115">
        <v>0</v>
      </c>
      <c r="P27" s="299"/>
      <c r="Q27" s="116">
        <v>-61068</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1092</v>
      </c>
      <c r="E28" s="295"/>
      <c r="F28" s="295"/>
      <c r="G28" s="295"/>
      <c r="H28" s="295"/>
      <c r="I28" s="299"/>
      <c r="J28" s="115">
        <v>0</v>
      </c>
      <c r="K28" s="295"/>
      <c r="L28" s="295"/>
      <c r="M28" s="295"/>
      <c r="N28" s="295"/>
      <c r="O28" s="299"/>
      <c r="P28" s="115">
        <v>254983</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2321</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437</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0</v>
      </c>
      <c r="L35" s="116"/>
      <c r="M35" s="116"/>
      <c r="N35" s="116"/>
      <c r="O35" s="115">
        <v>0</v>
      </c>
      <c r="P35" s="299"/>
      <c r="Q35" s="116">
        <f>P34</f>
        <v>437</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6</v>
      </c>
      <c r="E36" s="116">
        <f>D36</f>
        <v>6</v>
      </c>
      <c r="F36" s="116"/>
      <c r="G36" s="116"/>
      <c r="H36" s="116"/>
      <c r="I36" s="115">
        <v>0</v>
      </c>
      <c r="J36" s="115">
        <v>0</v>
      </c>
      <c r="K36" s="116">
        <f>J36</f>
        <v>0</v>
      </c>
      <c r="L36" s="116"/>
      <c r="M36" s="116"/>
      <c r="N36" s="116"/>
      <c r="O36" s="115">
        <v>0</v>
      </c>
      <c r="P36" s="115">
        <v>1943</v>
      </c>
      <c r="Q36" s="116">
        <f>P36</f>
        <v>1943</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2111</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2111</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217754</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-2831</v>
      </c>
      <c r="F42" s="116"/>
      <c r="G42" s="116"/>
      <c r="H42" s="116"/>
      <c r="I42" s="115">
        <v>0</v>
      </c>
      <c r="J42" s="299"/>
      <c r="K42" s="116">
        <v>0</v>
      </c>
      <c r="L42" s="116"/>
      <c r="M42" s="116"/>
      <c r="N42" s="116"/>
      <c r="O42" s="115">
        <v>0</v>
      </c>
      <c r="P42" s="299"/>
      <c r="Q42" s="116">
        <v>43030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2831</v>
      </c>
      <c r="E43" s="295"/>
      <c r="F43" s="295"/>
      <c r="G43" s="295"/>
      <c r="H43" s="295"/>
      <c r="I43" s="299"/>
      <c r="J43" s="115">
        <v>0</v>
      </c>
      <c r="K43" s="295"/>
      <c r="L43" s="295"/>
      <c r="M43" s="295"/>
      <c r="N43" s="295"/>
      <c r="O43" s="299"/>
      <c r="P43" s="115">
        <v>174723</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3668</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502150</v>
      </c>
      <c r="AT49" s="119">
        <v>0</v>
      </c>
      <c r="AU49" s="119">
        <v>0</v>
      </c>
      <c r="AV49" s="317"/>
      <c r="AW49" s="324"/>
    </row>
    <row r="50" spans="2:49" x14ac:dyDescent="0.2">
      <c r="B50" s="182" t="s">
        <v>119</v>
      </c>
      <c r="C50" s="139" t="s">
        <v>34</v>
      </c>
      <c r="D50" s="115">
        <v>5</v>
      </c>
      <c r="E50" s="295"/>
      <c r="F50" s="295"/>
      <c r="G50" s="295"/>
      <c r="H50" s="295"/>
      <c r="I50" s="299"/>
      <c r="J50" s="115">
        <v>0</v>
      </c>
      <c r="K50" s="295"/>
      <c r="L50" s="295"/>
      <c r="M50" s="295"/>
      <c r="N50" s="295"/>
      <c r="O50" s="299"/>
      <c r="P50" s="115">
        <v>4095</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-1817</v>
      </c>
      <c r="E54" s="121">
        <f>E24+E27+E31+E35-E36+E39+E42+E45+E46-E49+E51+E52+E53</f>
        <v>-731</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220198</v>
      </c>
      <c r="Q54" s="121">
        <f>Q24+Q27+Q31+Q35-Q36+Q39+Q42+Q45+Q46-Q49+Q51+Q52+Q53</f>
        <v>237362</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2086407</v>
      </c>
      <c r="AT54" s="122">
        <f>AT23+AT26-AT28+AT30-AT32+AT34-AT36+AT38+AT41-AT43+AT45+AT46-AT47-AT49+AT50+AT51+AT52+AT53</f>
        <v>18593</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-0.57999999999999996</v>
      </c>
      <c r="D5" s="124">
        <v>3107</v>
      </c>
      <c r="E5" s="352"/>
      <c r="F5" s="352"/>
      <c r="G5" s="318"/>
      <c r="H5" s="123">
        <v>0</v>
      </c>
      <c r="I5" s="124">
        <v>0</v>
      </c>
      <c r="J5" s="352"/>
      <c r="K5" s="352"/>
      <c r="L5" s="318"/>
      <c r="M5" s="123">
        <v>361.77</v>
      </c>
      <c r="N5" s="124">
        <v>374782</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45</v>
      </c>
      <c r="D6" s="116">
        <v>2901</v>
      </c>
      <c r="E6" s="121">
        <f>SUM('Pt 1 Summary of Data'!E$12,'Pt 1 Summary of Data'!E$22)+SUM('Pt 1 Summary of Data'!G$12,'Pt 1 Summary of Data'!G$22)-SUM('Pt 1 Summary of Data'!H$12,'Pt 1 Summary of Data'!H$22)</f>
        <v>-731</v>
      </c>
      <c r="F6" s="121">
        <f>SUM(C6:E6)</f>
        <v>2215</v>
      </c>
      <c r="G6" s="122">
        <f>'Pt 1 Summary of Data'!I12+'Pt 1 Summary of Data'!I22</f>
        <v>0</v>
      </c>
      <c r="H6" s="115">
        <v>0</v>
      </c>
      <c r="I6" s="116">
        <v>0</v>
      </c>
      <c r="J6" s="121">
        <f>'Pt 1 Summary of Data'!K12+'Pt 1 Summary of Data'!K22</f>
        <v>0</v>
      </c>
      <c r="K6" s="121">
        <f>SUM(H6:J6)</f>
        <v>0</v>
      </c>
      <c r="L6" s="122">
        <f>'Pt 1 Summary of Data'!O12+'Pt 1 Summary of Data'!O22</f>
        <v>0</v>
      </c>
      <c r="M6" s="115">
        <v>357</v>
      </c>
      <c r="N6" s="116">
        <v>351593</v>
      </c>
      <c r="O6" s="121">
        <f>'Pt 1 Summary of Data'!Q12+'Pt 1 Summary of Data'!Q22</f>
        <v>237362</v>
      </c>
      <c r="P6" s="121">
        <f>SUM(M6:O6)</f>
        <v>589312</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0</v>
      </c>
      <c r="D7" s="116">
        <v>20</v>
      </c>
      <c r="E7" s="121">
        <f>SUM('Pt 1 Summary of Data'!E37:E41)+MAX(0,MIN('Pt 1 Summary of Data'!E42,0.3%*('Pt 1 Summary of Data'!E5-SUM(E9:E11))))</f>
        <v>0</v>
      </c>
      <c r="F7" s="121">
        <f>SUM(C7:E7)</f>
        <v>20</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129</v>
      </c>
      <c r="N7" s="116">
        <v>2802</v>
      </c>
      <c r="O7" s="121">
        <f>SUM('Pt 1 Summary of Data'!Q37:Q41)+MAX(0,MIN('Pt 1 Summary of Data'!Q42,0.3%*('Pt 1 Summary of Data'!Q5)))</f>
        <v>750</v>
      </c>
      <c r="P7" s="121">
        <f>SUM(M7:O7)</f>
        <v>3681</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45</v>
      </c>
      <c r="D12" s="121">
        <f>SUM(D$6:D$7)+IF(AND(OR('Company Information'!$C$12="District of Columbia",'Company Information'!$C$12="Massachusetts",'Company Information'!$C$12="Vermont"),SUM($C$6:$F$11,$C$15:$F$16,$C$37:$D$37)&lt;&gt;0),SUM(I$6:I$7),0)</f>
        <v>2921</v>
      </c>
      <c r="E12" s="121">
        <f>SUM(E$6:E$7)-SUM(E$8:E$11)+IF(AND(OR('Company Information'!$C$12="District of Columbia",'Company Information'!$C$12="Massachusetts",'Company Information'!$C$12="Vermont"),SUM($C$6:$F$11,$C$15:$F$16,$C$37:$D$37)&lt;&gt;0),SUM(J$6:J$7)-SUM(J$10:J$11),0)</f>
        <v>-731</v>
      </c>
      <c r="F12" s="121">
        <f>IFERROR(SUM(C$12:E$12)+C$17*MAX(0,E$49-C$49)+D$17*MAX(0,E$49-D$49),0)</f>
        <v>2235</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486</v>
      </c>
      <c r="N12" s="121">
        <f>SUM(N$6:N$7)</f>
        <v>354395</v>
      </c>
      <c r="O12" s="121">
        <f>SUM(O$6:O$7)</f>
        <v>238112</v>
      </c>
      <c r="P12" s="121">
        <f>SUM(M$12:O$12)+M$17*MAX(0,O$49-M$49)+N$17*MAX(0,O$49-N$49)</f>
        <v>592993</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9390</v>
      </c>
      <c r="E15" s="112">
        <f>SUM('Pt 1 Summary of Data'!E$5:E$7)+SUM('Pt 1 Summary of Data'!G$5:G$7)-SUM('Pt 1 Summary of Data'!H$5:H$7)-SUM(E$9:E$11)+D$55</f>
        <v>0</v>
      </c>
      <c r="F15" s="112">
        <f>SUM(C15:E15)</f>
        <v>9390</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0</v>
      </c>
      <c r="N15" s="124">
        <v>790153</v>
      </c>
      <c r="O15" s="112">
        <f>SUM('Pt 1 Summary of Data'!Q5:Q7)+N55</f>
        <v>360582</v>
      </c>
      <c r="P15" s="112">
        <f>SUM(M15:O15)</f>
        <v>1150735</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0</v>
      </c>
      <c r="D16" s="116">
        <v>1818</v>
      </c>
      <c r="E16" s="121">
        <f>'Pt 1 Summary of Data'!E25+'Pt 1 Summary of Data'!E26+'Pt 1 Summary of Data'!E27+'Pt 1 Summary of Data'!E28+'Pt 1 Summary of Data'!E30+'Pt 1 Summary of Data'!E31+'Pt 1 Summary of Data'!E34+'Pt 1 Summary of Data'!E35+'Pt 3 MLR and Rebate Calculation'!D56</f>
        <v>739</v>
      </c>
      <c r="F16" s="121">
        <f>SUM(C16:E16)</f>
        <v>2557</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-139</v>
      </c>
      <c r="N16" s="116">
        <v>116384</v>
      </c>
      <c r="O16" s="121">
        <f>'Pt 1 Summary of Data'!Q25+'Pt 1 Summary of Data'!Q26+'Pt 1 Summary of Data'!Q27+'Pt 1 Summary of Data'!Q28+'Pt 1 Summary of Data'!Q30+'Pt 1 Summary of Data'!Q31+'Pt 1 Summary of Data'!Q34+'Pt 1 Summary of Data'!Q35+'Pt 3 MLR and Rebate Calculation'!N56</f>
        <v>69304</v>
      </c>
      <c r="P16" s="121">
        <f>SUM(M16:O16)</f>
        <v>185549</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7572</v>
      </c>
      <c r="E17" s="121">
        <f>E$15-E$16+IF(AND(OR('Company Information'!$C$12="District of Columbia",'Company Information'!$C$12="Massachusetts",'Company Information'!$C$12="Vermont"),SUM($C$6:$F$11,$C$15:$F$16,$C$37:$D$37)&lt;&gt;0),J$15-J$16,0)</f>
        <v>-739</v>
      </c>
      <c r="F17" s="121">
        <f>F$15-F$16+IF(AND(OR('Company Information'!$C$12="District of Columbia",'Company Information'!$C$12="Massachusetts",'Company Information'!$C$12="Vermont"),SUM($C$6:$F$11,$C$15:$F$16,$C$37:$D$37)&lt;&gt;0),K$15-K$16,0)</f>
        <v>6833</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139</v>
      </c>
      <c r="N17" s="121">
        <f>N$15-N$16</f>
        <v>673769</v>
      </c>
      <c r="O17" s="121">
        <f>O$15-O$16</f>
        <v>291278</v>
      </c>
      <c r="P17" s="121">
        <f>P$15-P$16</f>
        <v>965186</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1</v>
      </c>
      <c r="E37" s="262">
        <f>'Pt 1 Summary of Data'!E60</f>
        <v>0</v>
      </c>
      <c r="F37" s="262">
        <f>SUM(C37:E37)</f>
        <v>1</v>
      </c>
      <c r="G37" s="318"/>
      <c r="H37" s="127">
        <v>0</v>
      </c>
      <c r="I37" s="128">
        <v>0</v>
      </c>
      <c r="J37" s="262">
        <f>'Pt 1 Summary of Data'!K60</f>
        <v>0</v>
      </c>
      <c r="K37" s="262">
        <f>SUM(H37:J37)</f>
        <v>0</v>
      </c>
      <c r="L37" s="318"/>
      <c r="M37" s="127">
        <v>0</v>
      </c>
      <c r="N37" s="128">
        <v>139</v>
      </c>
      <c r="O37" s="262">
        <f>'Pt 1 Summary of Data'!Q60</f>
        <v>117.41666666666667</v>
      </c>
      <c r="P37" s="262">
        <f>SUM(M37:O37)</f>
        <v>256.41666666666669</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72</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2015-07-29T18:20:20Z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