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O6" i="10"/>
  <c r="P6" i="10" s="1"/>
  <c r="N17" i="10"/>
  <c r="N45" i="10" s="1"/>
  <c r="N12" i="10"/>
  <c r="M45" i="10"/>
  <c r="M17" i="10"/>
  <c r="M12" i="10"/>
  <c r="L60" i="10"/>
  <c r="L59" i="10"/>
  <c r="L36" i="10"/>
  <c r="L35" i="10"/>
  <c r="L16" i="10"/>
  <c r="L10" i="10"/>
  <c r="L15" i="10" s="1"/>
  <c r="L6" i="10"/>
  <c r="L20" i="10" s="1"/>
  <c r="K41" i="10"/>
  <c r="K16" i="10"/>
  <c r="K10" i="10"/>
  <c r="J16" i="10"/>
  <c r="J11" i="10"/>
  <c r="K11" i="10" s="1"/>
  <c r="J10" i="10"/>
  <c r="G60" i="10"/>
  <c r="G58" i="10" s="1"/>
  <c r="G59" i="10"/>
  <c r="G36" i="10"/>
  <c r="G35" i="10"/>
  <c r="G16" i="10"/>
  <c r="G10" i="10"/>
  <c r="G9" i="10"/>
  <c r="G8" i="10"/>
  <c r="F41" i="10"/>
  <c r="E16" i="10"/>
  <c r="F16" i="10" s="1"/>
  <c r="E11" i="10"/>
  <c r="F11" i="10" s="1"/>
  <c r="E10" i="10"/>
  <c r="F10" i="10" s="1"/>
  <c r="E9" i="10"/>
  <c r="F9" i="10" s="1"/>
  <c r="E8" i="10"/>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P55" i="18"/>
  <c r="P54" i="18"/>
  <c r="O55" i="18"/>
  <c r="O22" i="4" s="1"/>
  <c r="O54" i="18"/>
  <c r="O12" i="4"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5" i="4"/>
  <c r="L7" i="10" s="1"/>
  <c r="N60" i="4"/>
  <c r="N22" i="4"/>
  <c r="N12" i="4"/>
  <c r="N5" i="4"/>
  <c r="M60"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K6" i="10" l="1"/>
  <c r="I17" i="10" s="1"/>
  <c r="I45" i="10" s="1"/>
  <c r="J12" i="10"/>
  <c r="F6" i="10"/>
  <c r="X6" i="10"/>
  <c r="W38" i="10" s="1"/>
  <c r="U13" i="10"/>
  <c r="L58" i="10"/>
  <c r="L19" i="10" s="1"/>
  <c r="L22" i="10" s="1"/>
  <c r="AA13" i="10"/>
  <c r="AB6" i="10"/>
  <c r="AB13" i="10" s="1"/>
  <c r="G24" i="10"/>
  <c r="P15" i="10"/>
  <c r="P17" i="10" s="1"/>
  <c r="O17" i="10"/>
  <c r="O45" i="10" s="1"/>
  <c r="X15" i="10"/>
  <c r="F8" i="10"/>
  <c r="K15" i="10"/>
  <c r="T6" i="10"/>
  <c r="L32" i="10"/>
  <c r="L24" i="10"/>
  <c r="L27" i="10"/>
  <c r="L23" i="10"/>
  <c r="AB38" i="10"/>
  <c r="E15" i="10"/>
  <c r="J7" i="10"/>
  <c r="K7" i="10" s="1"/>
  <c r="O7" i="10"/>
  <c r="P7" i="10" s="1"/>
  <c r="S15" i="10"/>
  <c r="W7" i="10"/>
  <c r="X7" i="10" s="1"/>
  <c r="AA15" i="10"/>
  <c r="P38" i="10"/>
  <c r="G7" i="10"/>
  <c r="G27" i="10" s="1"/>
  <c r="X38" i="10" l="1"/>
  <c r="L21" i="10"/>
  <c r="L26" i="10" s="1"/>
  <c r="L25" i="10" s="1"/>
  <c r="L28" i="10" s="1"/>
  <c r="L30" i="10"/>
  <c r="L31" i="10" s="1"/>
  <c r="L29" i="10" s="1"/>
  <c r="L33" i="10" s="1"/>
  <c r="L34" i="10" s="1"/>
  <c r="AA17" i="10"/>
  <c r="AA46" i="10" s="1"/>
  <c r="AB15" i="10"/>
  <c r="AB17" i="10" s="1"/>
  <c r="AB46" i="10" s="1"/>
  <c r="O12" i="10"/>
  <c r="P12" i="10" s="1"/>
  <c r="V17" i="10"/>
  <c r="V46" i="10" s="1"/>
  <c r="U17" i="10"/>
  <c r="I12" i="10"/>
  <c r="H17" i="10"/>
  <c r="J17" i="10"/>
  <c r="W17" i="10"/>
  <c r="W46" i="10" s="1"/>
  <c r="G23" i="10"/>
  <c r="G32" i="10"/>
  <c r="G19" i="10"/>
  <c r="G22" i="10" s="1"/>
  <c r="W13" i="10"/>
  <c r="G20" i="10"/>
  <c r="H12" i="10"/>
  <c r="AB42" i="10"/>
  <c r="AB39" i="10"/>
  <c r="AB52" i="10"/>
  <c r="P53" i="10"/>
  <c r="E11" i="16" s="1"/>
  <c r="P39" i="10"/>
  <c r="P52" i="10"/>
  <c r="P45" i="10"/>
  <c r="P42" i="10"/>
  <c r="S17" i="10"/>
  <c r="T15" i="10"/>
  <c r="T17" i="10" s="1"/>
  <c r="F15" i="10"/>
  <c r="F17" i="10" s="1"/>
  <c r="Q17" i="10"/>
  <c r="K17" i="10"/>
  <c r="X17" i="10"/>
  <c r="V13" i="10"/>
  <c r="J38" i="10"/>
  <c r="AB48" i="10" l="1"/>
  <c r="AB51" i="10" s="1"/>
  <c r="AB47" i="10"/>
  <c r="E38" i="10"/>
  <c r="C17" i="10"/>
  <c r="E17" i="10"/>
  <c r="P47" i="10"/>
  <c r="P48" i="10"/>
  <c r="P51" i="10" s="1"/>
  <c r="R17" i="10"/>
  <c r="R46" i="10" s="1"/>
  <c r="AB53" i="10"/>
  <c r="H11" i="16" s="1"/>
  <c r="S38" i="10"/>
  <c r="D12" i="10"/>
  <c r="D17" i="10"/>
  <c r="D45" i="10" s="1"/>
  <c r="Q13" i="10"/>
  <c r="E12" i="10"/>
  <c r="S13" i="10"/>
  <c r="X13" i="10"/>
  <c r="U46" i="10"/>
  <c r="X53" i="10"/>
  <c r="G11" i="16" s="1"/>
  <c r="X39" i="10"/>
  <c r="X52" i="10"/>
  <c r="X46" i="10"/>
  <c r="X42" i="10"/>
  <c r="G21" i="10"/>
  <c r="G26" i="10" s="1"/>
  <c r="G25" i="10" s="1"/>
  <c r="G28" i="10" s="1"/>
  <c r="G30" i="10"/>
  <c r="G31" i="10" s="1"/>
  <c r="G29" i="10" s="1"/>
  <c r="G33" i="10" s="1"/>
  <c r="G34" i="10" s="1"/>
  <c r="K38" i="10"/>
  <c r="J45" i="10"/>
  <c r="Q46" i="10"/>
  <c r="C12" i="10"/>
  <c r="K12" i="10"/>
  <c r="H45" i="10"/>
  <c r="R13" i="10"/>
  <c r="K53" i="10" l="1"/>
  <c r="D11" i="16" s="1"/>
  <c r="K39" i="10"/>
  <c r="K52" i="10"/>
  <c r="K45" i="10"/>
  <c r="K42" i="10"/>
  <c r="X47" i="10"/>
  <c r="X48" i="10"/>
  <c r="X51" i="10" s="1"/>
  <c r="E45" i="10"/>
  <c r="F38" i="10"/>
  <c r="T38" i="10"/>
  <c r="S46" i="10"/>
  <c r="T13" i="10"/>
  <c r="C45" i="10"/>
  <c r="F12" i="10"/>
  <c r="K47" i="10" l="1"/>
  <c r="K48" i="10"/>
  <c r="K51" i="10" s="1"/>
  <c r="F42" i="10"/>
  <c r="F53" i="10"/>
  <c r="C11" i="16" s="1"/>
  <c r="F39" i="10"/>
  <c r="F52" i="10"/>
  <c r="F45" i="10"/>
  <c r="T42" i="10"/>
  <c r="T52" i="10"/>
  <c r="T53" i="10"/>
  <c r="F11" i="16" s="1"/>
  <c r="T39" i="10"/>
  <c r="T46" i="10"/>
  <c r="T48" i="10" l="1"/>
  <c r="T51" i="10" s="1"/>
  <c r="T47" i="10"/>
  <c r="F48" i="10"/>
  <c r="F51" i="10" s="1"/>
  <c r="F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<sst xmlns="http://schemas.openxmlformats.org/spreadsheetml/2006/main" count="570" uniqueCount="508">
  <si>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</si>
  <si>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</si>
  <si>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</si>
  <si>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</si>
  <si>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</si>
  <si>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</si>
  <si>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</si>
  <si>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</si>
  <si>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</si>
  <si>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</si>
  <si>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</si>
  <si>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</si>
  <si>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</si>
  <si>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</si>
  <si>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</si>
  <si>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</si>
  <si>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</si>
  <si>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</si>
  <si>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</si>
  <si>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</si>
  <si>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</si>
  <si>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</si>
  <si>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</si>
  <si>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</si>
  <si>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</si>
  <si>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</si>
  <si>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</si>
  <si>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</si>
  <si>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</si>
  <si>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</si>
  <si>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</si>
  <si>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</si>
  <si>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</si>
  <si>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</si>
  <si>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</si>
  <si>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</si>
  <si>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</si>
  <si>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</si>
  <si>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</si>
  <si>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</si>
  <si>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</si>
  <si>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</si>
  <si>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</si>
  <si>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</si>
  <si>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</si>
  <si>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</si>
  <si>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</si>
  <si>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</si>
  <si>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</si>
  <si>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</si>
  <si>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</si>
  <si>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</si>
  <si>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</si>
  <si>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</si>
  <si>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</si>
  <si>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</si>
  <si>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</si>
  <si>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</si>
  <si>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</si>
  <si>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</si>
  <si>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</si>
  <si>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</si>
  <si>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</si>
  <si>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</si>
  <si>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</si>
  <si>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</si>
  <si>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</si>
  <si>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</si>
  <si>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</si>
  <si>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</si>
  <si>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</si>
  <si>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</si>
  <si>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</si>
  <si>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</si>
  <si>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</si>
  <si>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</si>
  <si>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</si>
  <si>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</si>
  <si>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</si>
  <si>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</si>
  <si>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</si>
  <si>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</si>
  <si>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</si>
  <si>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</si>
  <si>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</si>
  <si>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</si>
  <si>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</si>
  <si>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</si>
  <si>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</si>
  <si>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</si>
  <si>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</si>
  <si>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</si>
  <si>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</si>
  <si>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</si>
  <si>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</si>
  <si>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</si>
  <si>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</si>
  <si>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</si>
  <si>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</si>
  <si>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</si>
  <si>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</si>
  <si>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</si>
  <si>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</si>
  <si>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</si>
  <si>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</si>
  <si>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</si>
  <si>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</si>
  <si>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</si>
  <si>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</si>
  <si>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</si>
  <si>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</si>
  <si>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</si>
  <si>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</si>
  <si>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</si>
  <si>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</si>
  <si>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</si>
  <si>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</si>
  <si>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</si>
  <si>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</si>
  <si>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</si>
  <si>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</si>
  <si>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</si>
  <si>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</si>
  <si>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</si>
  <si>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</si>
  <si>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</si>
  <si>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</si>
  <si>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</si>
  <si>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</si>
  <si>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</si>
  <si>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</si>
  <si>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</si>
  <si>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</si>
  <si>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</si>
  <si>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</si>
  <si>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</si>
  <si>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</si>
  <si>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</si>
  <si>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</si>
  <si>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</si>
  <si>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</si>
  <si>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</si>
  <si>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</si>
  <si>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</si>
  <si>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</si>
  <si>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</si>
  <si>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</si>
  <si>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</si>
  <si>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</si>
  <si>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</si>
  <si>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</si>
  <si>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</si>
  <si>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</si>
  <si>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</si>
  <si>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</si>
  <si>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</si>
  <si>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</si>
  <si>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</si>
  <si>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</si>
  <si>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</si>
  <si>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</si>
  <si>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</si>
  <si>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</si>
  <si>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</si>
  <si>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</si>
  <si>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</si>
  <si>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</si>
  <si>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</si>
  <si>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</si>
  <si>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</si>
  <si>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</si>
  <si>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</si>
  <si>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</si>
  <si>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</si>
  <si>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</si>
  <si>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</si>
  <si>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</si>
  <si>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</si>
  <si>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</si>
  <si>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</si>
  <si>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</si>
  <si>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</si>
  <si>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</si>
  <si>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</si>
  <si>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</si>
  <si>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</si>
  <si>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</si>
  <si>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</si>
  <si>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</si>
  <si>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</si>
  <si>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</si>
  <si>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</si>
  <si>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</si>
  <si>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</si>
  <si>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</si>
  <si>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</si>
  <si>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</si>
  <si>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</si>
  <si>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</si>
  <si>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</si>
  <si>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</si>
  <si>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</si>
  <si>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</si>
  <si>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</si>
  <si>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</si>
  <si>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</si>
  <si>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</si>
  <si>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</si>
  <si>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</si>
  <si>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</si>
  <si>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</si>
  <si>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</si>
  <si>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</si>
  <si>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</si>
  <si>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</si>
  <si>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</si>
  <si>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</si>
  <si>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</si>
  <si>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</si>
  <si>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</si>
  <si>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</si>
  <si>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</si>
  <si>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</si>
  <si>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</si>
  <si>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</si>
  <si>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</si>
  <si>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</si>
  <si>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</si>
  <si>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</si>
  <si>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</si>
  <si>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</si>
  <si>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</si>
  <si>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</si>
  <si>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</si>
  <si>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</si>
  <si>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</si>
  <si>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</si>
  <si>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</si>
  <si>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</si>
  <si>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</si>
  <si>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</si>
  <si>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</si>
  <si>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</si>
  <si>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</si>
  <si>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</si>
  <si>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</si>
  <si>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</si>
  <si>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</si>
  <si>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</si>
  <si>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</si>
  <si>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</si>
  <si>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</si>
  <si>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</si>
  <si>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</si>
  <si>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</si>
  <si>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</si>
  <si>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</si>
  <si>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</si>
  <si>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</si>
  <si>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</si>
  <si>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</si>
  <si>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</si>
  <si>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</si>
  <si>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</si>
  <si>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</si>
  <si>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</si>
  <si>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</si>
  <si>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</si>
  <si>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</si>
  <si>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</si>
  <si>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</si>
  <si>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</si>
  <si>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</si>
  <si>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</si>
  <si>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</si>
  <si>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</si>
  <si>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</si>
  <si>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</si>
  <si>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</si>
  <si>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</si>
  <si>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</si>
  <si>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</si>
  <si>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</si>
  <si>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</si>
  <si>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</si>
  <si>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</si>
  <si>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</si>
  <si>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</si>
  <si>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</si>
  <si>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</si>
  <si>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</si>
  <si>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</si>
  <si>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</si>
  <si>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</si>
  <si>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</si>
  <si>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</si>
  <si>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</si>
  <si>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</si>
  <si>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</si>
  <si>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</si>
  <si>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</si>
  <si>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</si>
  <si>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</si>
  <si>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</si>
  <si>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</si>
  <si>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</si>
  <si>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</si>
  <si>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</si>
  <si>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</si>
  <si>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</si>
  <si>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</si>
  <si>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</si>
  <si>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</si>
  <si>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</si>
  <si>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</si>
  <si>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</si>
  <si>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</si>
  <si>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</si>
  <si>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</si>
  <si>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</si>
  <si>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</si>
  <si>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</si>
  <si>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</si>
  <si>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</si>
  <si>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</si>
  <si>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</si>
  <si>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</si>
  <si>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</si>
  <si>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</si>
  <si>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</si>
  <si>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</si>
  <si>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</si>
  <si>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</si>
  <si>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</si>
  <si>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</si>
  <si>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</si>
  <si>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</si>
  <si>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</si>
  <si>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</si>
  <si>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</si>
  <si>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</si>
  <si>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</si>
  <si>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</si>
  <si>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</si>
  <si>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</si>
  <si>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</si>
  <si>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</si>
  <si>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</si>
  <si>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</si>
  <si>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</si>
  <si>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</si>
  <si>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</si>
  <si>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</si>
  <si>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</si>
  <si>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</si>
  <si>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</si>
  <si>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</si>
  <si>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</si>
  <si>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</si>
  <si>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</si>
  <si>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</si>
  <si>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</si>
  <si>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</si>
  <si>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</si>
  <si>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</si>
  <si>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</si>
  <si>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</si>
  <si>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</si>
  <si>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</si>
  <si>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</si>
  <si>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</si>
  <si>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</si>
  <si>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</si>
  <si>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</si>
  <si>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</si>
  <si>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</si>
  <si>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</si>
  <si>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</si>
  <si>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</si>
  <si>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</si>
  <si>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</si>
  <si>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</si>
  <si>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</si>
  <si>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</si>
  <si>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</si>
  <si>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</si>
  <si>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</si>
  <si>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</si>
  <si>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</si>
  <si>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</si>
  <si>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</si>
  <si>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</si>
  <si>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</si>
  <si>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</si>
  <si>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</si>
  <si>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</si>
  <si>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</si>
  <si>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</si>
  <si>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</si>
  <si>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</si>
  <si>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</si>
  <si>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</si>
  <si>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</si>
  <si>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</si>
  <si>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</si>
  <si>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</si>
  <si>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</si>
  <si>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</si>
  <si>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</si>
  <si>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</si>
  <si>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</si>
  <si>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</si>
  <si>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</si>
  <si>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</si>
  <si>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</si>
  <si>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</si>
  <si>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</si>
  <si>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</si>
  <si>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</si>
  <si>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</si>
  <si>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</si>
  <si>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</si>
  <si>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</si>
  <si>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</si>
  <si>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</si>
  <si>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</si>
  <si>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</si>
  <si>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</si>
  <si>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</si>
  <si>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</si>
  <si>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</si>
  <si>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</si>
  <si>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</si>
  <si>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</si>
  <si>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</si>
  <si>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</si>
  <si>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</si>
  <si>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</si>
  <si>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</si>
  <si>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</si>
  <si>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</si>
  <si>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</si>
  <si>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</si>
  <si>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</si>
  <si>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</si>
  <si>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</si>
  <si>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</si>
  <si>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</si>
  <si>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</si>
  <si>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</si>
  <si>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</si>
  <si>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</si>
  <si>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</si>
  <si>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</si>
  <si>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</si>
  <si>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</si>
  <si>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</si>
  <si>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</si>
  <si>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</si>
  <si>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</si>
  <si>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</si>
  <si>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</si>
  <si>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</si>
  <si>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</si>
  <si>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</si>
  <si>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</si>
  <si>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</si>
  <si>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</si>
  <si>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</si>
  <si>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</si>
  <si>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</si>
  <si>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</si>
  <si>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</si>
  <si>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</si>
  <si>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</si>
  <si>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</si>
  <si>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</si>
  <si>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</si>
  <si>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</si>
  <si>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</si>
  <si>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</si>
  <si>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</si>
  <si>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</si>
  <si>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</si>
  <si>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</si>
  <si>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</si>
  <si>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</si>
  <si>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</si>
  <si>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</si>
  <si>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</si>
  <si>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</si>
  <si>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</si>
  <si>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</si>
  <si>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</si>
  <si>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</si>
  <si>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</si>
  <si>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</si>
  <si>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</si>
  <si>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</si>
  <si>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</si>
  <si>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</si>
  <si>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</si>
  <si>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</si>
  <si>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</si>
  <si>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</si>
  <si>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60694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</si>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</sst>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-332897</v>
      </c>
      <c r="Q5" s="219">
        <f>SUM('Pt 2 Premium and Claims'!Q$5,'Pt 2 Premium and Claims'!Q$6,-'Pt 2 Premium and Claims'!Q$7,-'Pt 2 Premium and Claims'!Q$13,'Pt 2 Premium and Claims'!Q$14)</f>
        <v>-332897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268522</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-9</v>
      </c>
      <c r="Q7" s="223">
        <v>-9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-118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-397643</v>
      </c>
      <c r="Q12" s="219">
        <f>'Pt 2 Premium and Claims'!Q$54</f>
        <v>-317136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325028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25678</v>
      </c>
      <c r="Q25" s="223">
        <v>25678</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-26162</v>
      </c>
      <c r="AU25" s="226">
        <v>0</v>
      </c>
      <c r="AV25" s="226">
        <v>6163</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20</v>
      </c>
      <c r="Q26" s="223">
        <v>20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499</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349</v>
      </c>
      <c r="AU28" s="226">
        <v>0</v>
      </c>
      <c r="AV28" s="226">
        <v>2960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-1018</v>
      </c>
      <c r="Q30" s="223">
        <v>-1018</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832</v>
      </c>
      <c r="AU30" s="226">
        <v>0</v>
      </c>
      <c r="AV30" s="226">
        <v>77</v>
      </c>
      <c r="AW30" s="303"/>
    </row>
    <row r="31" spans="1:49" x14ac:dyDescent="0.2">
      <c r="B31" s="248" t="s">
        <v>247</v>
      </c>
      <c r="C31" s="209"/>
      <c r="D31" s="222">
        <v>0</v>
      </c>
      <c r="E31" s="223">
        <v>0</v>
      </c>
      <c r="F31" s="223"/>
      <c r="G31" s="223"/>
      <c r="H31" s="223"/>
      <c r="I31" s="222">
        <v>0</v>
      </c>
      <c r="J31" s="222">
        <v>0</v>
      </c>
      <c r="K31" s="223">
        <v>0</v>
      </c>
      <c r="L31" s="223"/>
      <c r="M31" s="223"/>
      <c r="N31" s="223"/>
      <c r="O31" s="222"/>
      <c r="P31" s="222">
        <v>-5724</v>
      </c>
      <c r="Q31" s="223">
        <v>-5724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4617</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v>
      </c>
      <c r="AU35" s="226">
        <v>0</v>
      </c>
      <c r="AV35" s="226">
        <v>174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v>
      </c>
      <c r="AU37" s="232">
        <v>0</v>
      </c>
      <c r="AV37" s="232">
        <v>3106</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444</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v>
      </c>
      <c r="AU39" s="226">
        <v>0</v>
      </c>
      <c r="AV39" s="226">
        <v>76</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7</v>
      </c>
      <c r="AU40" s="226">
        <v>0</v>
      </c>
      <c r="AV40" s="226">
        <v>487</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35</v>
      </c>
      <c r="AU41" s="226">
        <v>0</v>
      </c>
      <c r="AV41" s="226">
        <v>1380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56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261</v>
      </c>
      <c r="AU44" s="232">
        <v>0</v>
      </c>
      <c r="AV44" s="232">
        <v>15445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13</v>
      </c>
      <c r="AU45" s="226">
        <v>0</v>
      </c>
      <c r="AV45" s="226">
        <v>-13</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1083</v>
      </c>
      <c r="AU46" s="226">
        <v>0</v>
      </c>
      <c r="AV46" s="226">
        <v>4948</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-7411</v>
      </c>
      <c r="Q47" s="223">
        <v>-7411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7992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8549</v>
      </c>
      <c r="AU51" s="226">
        <v>0</v>
      </c>
      <c r="AV51" s="226">
        <v>79906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13</v>
      </c>
      <c r="AU53" s="226">
        <v>0</v>
      </c>
      <c r="AV53" s="226">
        <v>166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127975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78</v>
      </c>
      <c r="AU56" s="236">
        <v>0</v>
      </c>
      <c r="AV56" s="236">
        <v>681</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123</v>
      </c>
      <c r="AU57" s="239">
        <v>0</v>
      </c>
      <c r="AV57" s="239">
        <v>1116</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6</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1253</v>
      </c>
      <c r="AU59" s="239">
        <v>0</v>
      </c>
      <c r="AV59" s="239">
        <v>10631</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104.41666666666667</v>
      </c>
      <c r="AU60" s="242">
        <f>AU$59/12</f>
        <v>0</v>
      </c>
      <c r="AV60" s="242">
        <f>AV$59/12</f>
        <v>885.91666666666663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2480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817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-1298</v>
      </c>
      <c r="E5" s="332">
        <v>-1298</v>
      </c>
      <c r="F5" s="332"/>
      <c r="G5" s="334"/>
      <c r="H5" s="334"/>
      <c r="I5" s="331">
        <v>0</v>
      </c>
      <c r="J5" s="331">
        <v>0</v>
      </c>
      <c r="K5" s="332">
        <v>0</v>
      </c>
      <c r="L5" s="332"/>
      <c r="M5" s="332"/>
      <c r="N5" s="332"/>
      <c r="O5" s="331"/>
      <c r="P5" s="331">
        <v>-340233</v>
      </c>
      <c r="Q5" s="332">
        <v>-340233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251253</v>
      </c>
      <c r="AU5" s="333">
        <v>0</v>
      </c>
      <c r="AV5" s="375"/>
      <c r="AW5" s="379"/>
    </row>
    <row r="6" spans="2:49" x14ac:dyDescent="0.2">
      <c r="B6" s="349" t="s">
        <v>278</v>
      </c>
      <c r="C6" s="337" t="s">
        <v>8</v>
      </c>
      <c r="D6" s="324">
        <v>1298</v>
      </c>
      <c r="E6" s="325">
        <v>1298</v>
      </c>
      <c r="F6" s="325"/>
      <c r="G6" s="326"/>
      <c r="H6" s="326"/>
      <c r="I6" s="324">
        <v>0</v>
      </c>
      <c r="J6" s="324">
        <v>0</v>
      </c>
      <c r="K6" s="325">
        <v>0</v>
      </c>
      <c r="L6" s="325"/>
      <c r="M6" s="325"/>
      <c r="N6" s="325"/>
      <c r="O6" s="324"/>
      <c r="P6" s="324">
        <v>7336</v>
      </c>
      <c r="Q6" s="325">
        <v>7336</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18936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1622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-217753</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217753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-3676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292632</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-3676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32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33422</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-92116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176323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1026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-3154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-3154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437</v>
      </c>
      <c r="Q36" s="325">
        <v>437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-217753</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217753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3668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-397643</v>
      </c>
      <c r="Q54" s="329">
        <f>Q24+Q27+Q31+Q35-Q36+Q39+Q42+Q45+Q46-Q49+Q51+Q52+Q53</f>
        <v>-317136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325028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37674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2901</v>
      </c>
      <c r="D6" s="404">
        <v>-731</v>
      </c>
      <c r="E6" s="406">
        <f>SUM('Pt 1 Summary of Data'!E$12,'Pt 1 Summary of Data'!E$22)+SUM('Pt 1 Summary of Data'!G$12,'Pt 1 Summary of Data'!G$22)-SUM('Pt 1 Summary of Data'!H$12,'Pt 1 Summary of Data'!H$22)</f>
        <v>0</v>
      </c>
      <c r="F6" s="406">
        <f>SUM(C6:E6)</f>
        <v>2170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351593</v>
      </c>
      <c r="N6" s="404">
        <v>216353</v>
      </c>
      <c r="O6" s="406">
        <f>SUM('Pt 1 Summary of Data'!Q$12,'Pt 1 Summary of Data'!Q$22)+SUM('Pt 1 Summary of Data'!S$12,'Pt 1 Summary of Data'!S$22)-SUM('Pt 1 Summary of Data'!T$12,'Pt 1 Summary of Data'!T$22)</f>
        <v>-317136</v>
      </c>
      <c r="P6" s="406">
        <f>SUM(M6:O6)</f>
        <v>250810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2802</v>
      </c>
      <c r="N7" s="404">
        <v>749</v>
      </c>
      <c r="O7" s="406">
        <f>SUM('Pt 1 Summary of Data'!Q$37:Q$41)+SUM('Pt 1 Summary of Data'!S$37:S$41)-SUM('Pt 1 Summary of Data'!T$37:T$41)+MAX(0,MIN('Pt 1 Summary of Data'!Q$42+'Pt 1 Summary of Data'!S$42-'Pt 1 Summary of Data'!T$42,0.3%*('Pt 1 Summary of Data'!Q$5+'Pt 1 Summary of Data'!S$5-'Pt 1 Summary of Data'!T$5)))</f>
        <v>0</v>
      </c>
      <c r="P7" s="406">
        <f>SUM(M7:O7)</f>
        <v>3551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2921</v>
      </c>
      <c r="D12" s="406">
        <f>SUM(D$6:D$7) - SUM(D$8:D$11)+IF(AND(OR('Company Information'!$C$12="District of Columbia",'Company Information'!$C$12="Massachusetts",'Company Information'!$C$12="Vermont"),SUM($C$6:$F$11,$C$15:$F$16,$C$38:$D$38)&lt;&gt;0),SUM(I$6:I$7) - SUM(I$10:I$11),0)</f>
        <v>-731</v>
      </c>
      <c r="E12" s="406">
        <f>SUM(E$6:E$7)-SUM(E$8:E$11)+IF(AND(OR('Company Information'!$C$12="District of Columbia",'Company Information'!$C$12="Massachusetts",'Company Information'!$C$12="Vermont"),SUM($C$6:$F$11,$C$15:$F$16,$C$38:$D$38)&lt;&gt;0),SUM(J$6:J$7)-SUM(J$10:J$11),0)</f>
        <v>0</v>
      </c>
      <c r="F12" s="406">
        <f>IFERROR(SUM(C$12:E$12)+C$17*MAX(0,E$50-C$50)+D$17*MAX(0,E$50-D$50),0)</f>
        <v>2190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354395</v>
      </c>
      <c r="N12" s="406">
        <f>SUM(N$6:N$7)</f>
        <v>217102</v>
      </c>
      <c r="O12" s="406">
        <f>SUM(O$6:O$7)</f>
        <v>-317136</v>
      </c>
      <c r="P12" s="406">
        <f>SUM(M$12:O$12)+M$17*MAX(0,O$50-M$50)+N$17*MAX(0,O$50-N$50)</f>
        <v>254361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9390</v>
      </c>
      <c r="D15" s="409">
        <v>0</v>
      </c>
      <c r="E15" s="401">
        <f>SUM('Pt 1 Summary of Data'!E$5:E$7)+SUM('Pt 1 Summary of Data'!G$5:G$7)-SUM('Pt 1 Summary of Data'!H$5:H$7)-SUM(E$9:E$11)</f>
        <v>0</v>
      </c>
      <c r="F15" s="401">
        <f>SUM(C15:E15)</f>
        <v>9390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790153</v>
      </c>
      <c r="N15" s="409">
        <v>360582</v>
      </c>
      <c r="O15" s="401">
        <f>SUM('Pt 1 Summary of Data'!Q$5:Q$7)+SUM('Pt 1 Summary of Data'!S$5:S$7)-SUM('Pt 1 Summary of Data'!T$5:T$7)+N$56</f>
        <v>-332906</v>
      </c>
      <c r="P15" s="401">
        <f>SUM(M15:O15)</f>
        <v>817829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1818</v>
      </c>
      <c r="D16" s="404">
        <v>739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2557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116384</v>
      </c>
      <c r="N16" s="404">
        <v>69305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18956</v>
      </c>
      <c r="P16" s="406">
        <f>SUM(M16:O16)</f>
        <v>204645</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7572</v>
      </c>
      <c r="D17" s="406">
        <f>D$15-D$16+IF(AND(OR('Company Information'!$C$12="District of Columbia",'Company Information'!$C$12="Massachusetts",'Company Information'!$C$12="Vermont"),SUM($C$6:$F$11,$C$15:$F$16,$C$38:$D$38)&lt;&gt;0),I$15-I$16,0)</f>
        <v>-739</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6833</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673769</v>
      </c>
      <c r="N17" s="406">
        <f>N$15-N$16</f>
        <v>291277</v>
      </c>
      <c r="O17" s="406">
        <f>O$15-O$16</f>
        <v>-351862</v>
      </c>
      <c r="P17" s="406">
        <f>P$15-P$16</f>
        <v>613184</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138.82830000000001</v>
      </c>
      <c r="N38" s="411">
        <v>117.4525</v>
      </c>
      <c r="O38" s="438">
        <f>('Pt 1 Summary of Data'!Q$59+'Pt 1 Summary of Data'!S$59-'Pt 1 Summary of Data'!T$59)/12</f>
        <v>0</v>
      </c>
      <c r="P38" s="438">
        <f>SUM(M$38:O$38)</f>
        <v>256.2808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