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45" i="10"/>
  <c r="Z17" i="10"/>
  <c r="Z13" i="10"/>
  <c r="Y17" i="10"/>
  <c r="Y13" i="10"/>
  <c r="X49" i="10"/>
  <c r="X40" i="10"/>
  <c r="T49" i="10"/>
  <c r="T40" i="10"/>
  <c r="P49" i="10"/>
  <c r="P40" i="10"/>
  <c r="N17" i="10"/>
  <c r="N44" i="10" s="1"/>
  <c r="N12" i="10"/>
  <c r="M44" i="10"/>
  <c r="M17" i="10"/>
  <c r="M12" i="10"/>
  <c r="L35" i="10"/>
  <c r="L34" i="10"/>
  <c r="L22" i="10"/>
  <c r="L16" i="10"/>
  <c r="L10" i="10"/>
  <c r="L15" i="10" s="1"/>
  <c r="K49" i="10"/>
  <c r="K40" i="10"/>
  <c r="K11" i="10"/>
  <c r="J11" i="10"/>
  <c r="J10" i="10"/>
  <c r="K10" i="10" s="1"/>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54" i="18"/>
  <c r="AB36" i="18"/>
  <c r="AB35" i="18"/>
  <c r="AB11" i="18"/>
  <c r="AB10" i="18"/>
  <c r="AA55" i="18"/>
  <c r="AA54" i="18"/>
  <c r="AA12" i="18"/>
  <c r="AA11" i="18"/>
  <c r="AA9" i="18"/>
  <c r="Y56" i="18"/>
  <c r="Y55" i="18" s="1"/>
  <c r="Y22" i="4" s="1"/>
  <c r="Y54" i="18"/>
  <c r="Y36" i="18"/>
  <c r="Y35" i="18"/>
  <c r="Y11" i="18"/>
  <c r="Y10" i="18"/>
  <c r="X55" i="18"/>
  <c r="X54" i="18"/>
  <c r="X12" i="18"/>
  <c r="X11" i="18"/>
  <c r="X9" i="18"/>
  <c r="V56" i="18"/>
  <c r="V55" i="18" s="1"/>
  <c r="V22" i="4" s="1"/>
  <c r="V54" i="18"/>
  <c r="V36" i="18"/>
  <c r="V35" i="18"/>
  <c r="V11" i="18"/>
  <c r="V10" i="18"/>
  <c r="V6" i="18"/>
  <c r="U55" i="18"/>
  <c r="U54" i="18"/>
  <c r="U12" i="18"/>
  <c r="U11" i="18"/>
  <c r="U9" i="18"/>
  <c r="Q56" i="18"/>
  <c r="Q55" i="18"/>
  <c r="Q36" i="18"/>
  <c r="Q35" i="18"/>
  <c r="Q54" i="18" s="1"/>
  <c r="Q12" i="4" s="1"/>
  <c r="O6" i="10" s="1"/>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12" i="4"/>
  <c r="AA6" i="10" s="1"/>
  <c r="AB7" i="4"/>
  <c r="AB6" i="4"/>
  <c r="AB5" i="4"/>
  <c r="AA15"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12" i="4"/>
  <c r="V7" i="4"/>
  <c r="V6" i="4"/>
  <c r="V5" i="4"/>
  <c r="S7" i="10" s="1"/>
  <c r="T7"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T37" i="10" l="1"/>
  <c r="X6" i="10"/>
  <c r="AB37" i="10"/>
  <c r="K6" i="10"/>
  <c r="K37" i="10"/>
  <c r="F6" i="10"/>
  <c r="L29" i="10"/>
  <c r="L21" i="10"/>
  <c r="P15" i="10"/>
  <c r="P17" i="10" s="1"/>
  <c r="O17" i="10"/>
  <c r="K15" i="10"/>
  <c r="J17" i="10"/>
  <c r="X37" i="10"/>
  <c r="AB6" i="10"/>
  <c r="AB13" i="10" s="1"/>
  <c r="E15" i="10"/>
  <c r="F37" i="10"/>
  <c r="L20" i="10"/>
  <c r="P37" i="10"/>
  <c r="S6" i="10"/>
  <c r="AB15" i="10"/>
  <c r="AB17" i="10" s="1"/>
  <c r="AA17" i="10"/>
  <c r="AA45" i="10" s="1"/>
  <c r="P6" i="10"/>
  <c r="L25" i="10"/>
  <c r="E7" i="10"/>
  <c r="F7" i="10" s="1"/>
  <c r="L19" i="10"/>
  <c r="O7" i="10"/>
  <c r="P7" i="10" s="1"/>
  <c r="W15" i="10"/>
  <c r="Y45" i="10"/>
  <c r="G7" i="10"/>
  <c r="G19" i="10" s="1"/>
  <c r="L28" i="10"/>
  <c r="S15" i="10"/>
  <c r="AA7" i="10"/>
  <c r="AB7" i="10" s="1"/>
  <c r="J7" i="10"/>
  <c r="K7" i="10" s="1"/>
  <c r="T15" i="10" l="1"/>
  <c r="F15" i="10"/>
  <c r="E17" i="10" s="1"/>
  <c r="X41" i="10"/>
  <c r="X51" i="10"/>
  <c r="X52" i="10" s="1"/>
  <c r="G11" i="16" s="1"/>
  <c r="X46" i="10"/>
  <c r="X38" i="10"/>
  <c r="K51" i="10"/>
  <c r="H12" i="10"/>
  <c r="J12" i="10"/>
  <c r="J44" i="10" s="1"/>
  <c r="G21" i="10"/>
  <c r="I17" i="10"/>
  <c r="I12" i="10"/>
  <c r="L24" i="10"/>
  <c r="L23" i="10" s="1"/>
  <c r="L27" i="10" s="1"/>
  <c r="O12" i="10"/>
  <c r="R13" i="10"/>
  <c r="T6" i="10"/>
  <c r="S17" i="10" s="1"/>
  <c r="S45" i="10" s="1"/>
  <c r="Q17" i="10"/>
  <c r="S13" i="10"/>
  <c r="R17" i="10"/>
  <c r="R45" i="10" s="1"/>
  <c r="Q13" i="10"/>
  <c r="F51" i="10"/>
  <c r="AA13" i="10"/>
  <c r="K17" i="10"/>
  <c r="G25" i="10"/>
  <c r="D12" i="10"/>
  <c r="G20" i="10"/>
  <c r="AB51" i="10"/>
  <c r="AB52" i="10" s="1"/>
  <c r="H11" i="16" s="1"/>
  <c r="AB46" i="10"/>
  <c r="AB38" i="10"/>
  <c r="AB45" i="10"/>
  <c r="AB47" i="10" s="1"/>
  <c r="AB50" i="10" s="1"/>
  <c r="AB41" i="10"/>
  <c r="T41" i="10"/>
  <c r="T51" i="10"/>
  <c r="T52" i="10" s="1"/>
  <c r="F11" i="16" s="1"/>
  <c r="T46" i="10"/>
  <c r="T38" i="10"/>
  <c r="X15" i="10"/>
  <c r="X17" i="10" s="1"/>
  <c r="X45" i="10" s="1"/>
  <c r="X47" i="10" s="1"/>
  <c r="X50" i="10" s="1"/>
  <c r="P51" i="10"/>
  <c r="P46" i="10"/>
  <c r="P41" i="10"/>
  <c r="G28" i="10"/>
  <c r="G29" i="10"/>
  <c r="C12" i="10"/>
  <c r="H17" i="10"/>
  <c r="L26" i="10" l="1"/>
  <c r="L30" i="10" s="1"/>
  <c r="L31" i="10"/>
  <c r="L32" i="10" s="1"/>
  <c r="L33" i="10" s="1"/>
  <c r="H44" i="10"/>
  <c r="K12" i="10"/>
  <c r="K44" i="10" s="1"/>
  <c r="V13" i="10"/>
  <c r="W13" i="10"/>
  <c r="U13" i="10"/>
  <c r="V17" i="10"/>
  <c r="V45" i="10" s="1"/>
  <c r="F17" i="10"/>
  <c r="E12" i="10"/>
  <c r="E44" i="10" s="1"/>
  <c r="C17" i="10"/>
  <c r="W17" i="10"/>
  <c r="W45" i="10" s="1"/>
  <c r="P12" i="10"/>
  <c r="P44" i="10" s="1"/>
  <c r="P47" i="10" s="1"/>
  <c r="P50" i="10" s="1"/>
  <c r="P52" i="10" s="1"/>
  <c r="E11" i="16" s="1"/>
  <c r="O44" i="10"/>
  <c r="P38" i="10" s="1"/>
  <c r="I44" i="10"/>
  <c r="U17" i="10"/>
  <c r="D17" i="10"/>
  <c r="D44" i="10" s="1"/>
  <c r="T17" i="10"/>
  <c r="T45" i="10" s="1"/>
  <c r="T47" i="10" s="1"/>
  <c r="T50" i="10" s="1"/>
  <c r="Q45" i="10"/>
  <c r="T13" i="10"/>
  <c r="G24" i="10"/>
  <c r="G23" i="10" s="1"/>
  <c r="G27" i="10" s="1"/>
  <c r="G31" i="10" l="1"/>
  <c r="G32" i="10" s="1"/>
  <c r="G33" i="10" s="1"/>
  <c r="G26" i="10"/>
  <c r="G30" i="10" s="1"/>
  <c r="C44" i="10"/>
  <c r="F38" i="10" s="1"/>
  <c r="F41" i="10" s="1"/>
  <c r="F46" i="10" s="1"/>
  <c r="F12" i="10"/>
  <c r="X13" i="10"/>
  <c r="U45" i="10"/>
  <c r="F44" i="10"/>
  <c r="K38" i="10"/>
  <c r="K41" i="10" s="1"/>
  <c r="K46" i="10" s="1"/>
  <c r="K47" i="10" s="1"/>
  <c r="K50" i="10" s="1"/>
  <c r="K52" i="10" s="1"/>
  <c r="D11" i="16" s="1"/>
  <c r="F47" i="10" l="1"/>
  <c r="F50" i="10" s="1"/>
  <c r="F52" i="10" s="1"/>
  <c r="C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<sst xmlns="http://schemas.openxmlformats.org/spreadsheetml/2006/main" count="568" uniqueCount="506">
  <si>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</si>
  <si>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</si>
  <si>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</si>
  <si>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</si>
  <si>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</si>
  <si>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</si>
  <si>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</si>
  <si>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</si>
  <si>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</si>
  <si>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</si>
  <si>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</si>
  <si>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</si>
  <si>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</si>
  <si>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</si>
  <si>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</si>
  <si>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</si>
  <si>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</si>
  <si>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</si>
  <si>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</si>
  <si>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</si>
  <si>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</si>
  <si>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</si>
  <si>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</si>
  <si>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</si>
  <si>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</si>
  <si>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</si>
  <si>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</si>
  <si>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</si>
  <si>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</si>
  <si>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</si>
  <si>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</si>
  <si>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</si>
  <si>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</si>
  <si>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</si>
  <si>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</si>
  <si>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</si>
  <si>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</si>
  <si>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</si>
  <si>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</si>
  <si>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</si>
  <si>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</si>
  <si>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</si>
  <si>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</si>
  <si>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</si>
  <si>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</si>
  <si>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</si>
  <si>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</si>
  <si>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</si>
  <si>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</si>
  <si>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</si>
  <si>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</si>
  <si>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</si>
  <si>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</si>
  <si>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</si>
  <si>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</si>
  <si>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</si>
  <si>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</si>
  <si>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</si>
  <si>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</si>
  <si>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</si>
  <si>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</si>
  <si>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</si>
  <si>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</si>
  <si>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</si>
  <si>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</si>
  <si>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</si>
  <si>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</si>
  <si>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</si>
  <si>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</si>
  <si>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</si>
  <si>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</si>
  <si>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</si>
  <si>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</si>
  <si>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</si>
  <si>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</si>
  <si>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</si>
  <si>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</si>
  <si>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</si>
  <si>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</si>
  <si>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</si>
  <si>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</si>
  <si>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</si>
  <si>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</si>
  <si>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</si>
  <si>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</si>
  <si>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</si>
  <si>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</si>
  <si>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</si>
  <si>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</si>
  <si>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</si>
  <si>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</si>
  <si>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</si>
  <si>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</si>
  <si>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</si>
  <si>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</si>
  <si>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</si>
  <si>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</si>
  <si>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</si>
  <si>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</si>
  <si>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</si>
  <si>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</si>
  <si>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</si>
  <si>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</si>
  <si>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</si>
  <si>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</si>
  <si>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</si>
  <si>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</si>
  <si>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</si>
  <si>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</si>
  <si>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</si>
  <si>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</si>
  <si>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</si>
  <si>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</si>
  <si>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</si>
  <si>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</si>
  <si>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</si>
  <si>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</si>
  <si>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</si>
  <si>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</si>
  <si>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</si>
  <si>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</si>
  <si>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</si>
  <si>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</si>
  <si>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</si>
  <si>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</si>
  <si>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</si>
  <si>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</si>
  <si>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</si>
  <si>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</si>
  <si>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</si>
  <si>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</si>
  <si>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</si>
  <si>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</si>
  <si>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</si>
  <si>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</si>
  <si>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</si>
  <si>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</si>
  <si>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</si>
  <si>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</si>
  <si>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</si>
  <si>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</si>
  <si>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</si>
  <si>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</si>
  <si>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</si>
  <si>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</si>
  <si>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</si>
  <si>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</si>
  <si>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</si>
  <si>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</si>
  <si>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</si>
  <si>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</si>
  <si>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</si>
  <si>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</si>
  <si>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</si>
  <si>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</si>
  <si>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</si>
  <si>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</si>
  <si>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</si>
  <si>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</si>
  <si>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</si>
  <si>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</si>
  <si>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</si>
  <si>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</si>
  <si>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</si>
  <si>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</si>
  <si>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</si>
  <si>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</si>
  <si>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</si>
  <si>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</si>
  <si>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</si>
  <si>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</si>
  <si>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</si>
  <si>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</si>
  <si>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</si>
  <si>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</si>
  <si>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</si>
  <si>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</si>
  <si>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</si>
  <si>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</si>
  <si>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</si>
  <si>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</si>
  <si>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</si>
  <si>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</si>
  <si>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</si>
  <si>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</si>
  <si>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</si>
  <si>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</si>
  <si>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</si>
  <si>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</si>
  <si>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</si>
  <si>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</si>
  <si>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</si>
  <si>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</si>
  <si>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</si>
  <si>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</si>
  <si>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</si>
  <si>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</si>
  <si>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</si>
  <si>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</si>
  <si>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</si>
  <si>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</si>
  <si>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</si>
  <si>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</si>
  <si>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</si>
  <si>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</si>
  <si>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</si>
  <si>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</si>
  <si>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</si>
  <si>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</si>
  <si>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</si>
  <si>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</si>
  <si>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</si>
  <si>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</si>
  <si>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</si>
  <si>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</si>
  <si>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</si>
  <si>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</si>
  <si>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</si>
  <si>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</si>
  <si>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</si>
  <si>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</si>
  <si>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</si>
  <si>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</si>
  <si>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</si>
  <si>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</si>
  <si>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</si>
  <si>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</si>
  <si>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</si>
  <si>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</si>
  <si>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</si>
  <si>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</si>
  <si>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</si>
  <si>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</si>
  <si>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</si>
  <si>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</si>
  <si>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</si>
  <si>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</si>
  <si>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</si>
  <si>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</si>
  <si>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</si>
  <si>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</si>
  <si>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</si>
  <si>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</si>
  <si>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</si>
  <si>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</si>
  <si>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</si>
  <si>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</si>
  <si>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</si>
  <si>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</si>
  <si>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</si>
  <si>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</si>
  <si>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</si>
  <si>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</si>
  <si>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</si>
  <si>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</si>
  <si>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</si>
  <si>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</si>
  <si>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</si>
  <si>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</si>
  <si>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</si>
  <si>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</si>
  <si>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</si>
  <si>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</si>
  <si>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</si>
  <si>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</si>
  <si>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</si>
  <si>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</si>
  <si>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</si>
  <si>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</si>
  <si>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</si>
  <si>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</si>
  <si>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</si>
  <si>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</si>
  <si>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</si>
  <si>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</si>
  <si>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</si>
  <si>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</si>
  <si>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</si>
  <si>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</si>
  <si>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</si>
  <si>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</si>
  <si>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</si>
  <si>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</si>
  <si>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</si>
  <si>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</si>
  <si>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</si>
  <si>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</si>
  <si>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</si>
  <si>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</si>
  <si>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</si>
  <si>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</si>
  <si>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</si>
  <si>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</si>
  <si>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</si>
  <si>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</si>
  <si>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</si>
  <si>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</si>
  <si>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</si>
  <si>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</si>
  <si>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</si>
  <si>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</si>
  <si>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</si>
  <si>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</si>
  <si>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</si>
  <si>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</si>
  <si>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</si>
  <si>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</si>
  <si>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</si>
  <si>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</si>
  <si>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</si>
  <si>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</si>
  <si>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</si>
  <si>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</si>
  <si>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</si>
  <si>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</si>
  <si>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</si>
  <si>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</si>
  <si>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</si>
  <si>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</si>
  <si>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</si>
  <si>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</si>
  <si>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</si>
  <si>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</si>
  <si>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</si>
  <si>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</si>
  <si>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</si>
  <si>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</si>
  <si>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</si>
  <si>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</si>
  <si>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</si>
  <si>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</si>
  <si>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</si>
  <si>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</si>
  <si>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</si>
  <si>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</si>
  <si>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</si>
  <si>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</si>
  <si>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</si>
  <si>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</si>
  <si>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</si>
  <si>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</si>
  <si>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</si>
  <si>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</si>
  <si>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</si>
  <si>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</si>
  <si>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</si>
  <si>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</si>
  <si>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</si>
  <si>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</si>
  <si>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</si>
  <si>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</si>
  <si>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</si>
  <si>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</si>
  <si>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</si>
  <si>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</si>
  <si>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</si>
  <si>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</si>
  <si>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</si>
  <si>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</si>
  <si>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</si>
  <si>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</si>
  <si>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</si>
  <si>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</si>
  <si>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</si>
  <si>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</si>
  <si>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</si>
  <si>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</si>
  <si>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</si>
  <si>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</si>
  <si>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</si>
  <si>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</si>
  <si>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</si>
  <si>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</si>
  <si>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</si>
  <si>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</si>
  <si>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</si>
  <si>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</si>
  <si>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</si>
  <si>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</si>
  <si>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</si>
  <si>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</si>
  <si>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</si>
  <si>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</si>
  <si>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</si>
  <si>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</si>
  <si>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</si>
  <si>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</si>
  <si>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</si>
  <si>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</si>
  <si>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</si>
  <si>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</si>
  <si>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</si>
  <si>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</si>
  <si>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</si>
  <si>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</si>
  <si>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</si>
  <si>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</si>
  <si>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</si>
  <si>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</si>
  <si>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</si>
  <si>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</si>
  <si>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</si>
  <si>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</si>
  <si>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</si>
  <si>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</si>
  <si>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</si>
  <si>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</si>
  <si>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</si>
  <si>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</si>
  <si>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</si>
  <si>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</si>
  <si>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</si>
  <si>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</si>
  <si>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</si>
  <si>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</si>
  <si>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</si>
  <si>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</si>
  <si>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</si>
  <si>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</si>
  <si>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</si>
  <si>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</si>
  <si>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</si>
  <si>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</si>
  <si>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</si>
  <si>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</si>
  <si>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</si>
  <si>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</si>
  <si>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</si>
  <si>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</si>
  <si>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</si>
  <si>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</si>
  <si>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</si>
  <si>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</si>
  <si>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</si>
  <si>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</si>
  <si>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</si>
  <si>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</si>
  <si>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</si>
  <si>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</si>
  <si>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</si>
  <si>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</si>
  <si>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</si>
  <si>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</si>
  <si>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</si>
  <si>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</si>
  <si>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</si>
  <si>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</si>
  <si>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</si>
  <si>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</si>
  <si>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</si>
  <si>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</si>
  <si>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</si>
  <si>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</si>
  <si>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</si>
  <si>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</si>
  <si>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</si>
  <si>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</si>
  <si>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</si>
  <si>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</si>
  <si>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</si>
  <si>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</si>
  <si>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</si>
  <si>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</si>
  <si>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</si>
  <si>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</si>
  <si>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</si>
  <si>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</si>
  <si>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</si>
  <si>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</si>
  <si>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</si>
  <si>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</si>
  <si>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</si>
  <si>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</si>
  <si>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</si>
  <si>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</si>
  <si>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</si>
  <si>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</si>
  <si>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</si>
  <si>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</si>
  <si>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</si>
  <si>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</si>
  <si>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</si>
  <si>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</si>
  <si>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</si>
  <si>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</si>
  <si>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</si>
  <si>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</si>
  <si>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</si>
  <si>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</si>
  <si>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</si>
  <si>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</si>
  <si>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</si>
  <si>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</si>
  <si>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</si>
  <si>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</si>
  <si>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</si>
  <si>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</si>
  <si>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</si>
  <si>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</si>
  <si>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</si>
  <si>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</si>
  <si>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</si>
  <si>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</si>
  <si>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55409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</si>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</sst>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180519758</v>
      </c>
      <c r="E5" s="112">
        <f>'Pt 2 Premium and Claims'!E5+'Pt 2 Premium and Claims'!E6-'Pt 2 Premium and Claims'!E7-'Pt 2 Premium and Claims'!E13+'Pt 2 Premium and Claims'!E14+'Pt 2 Premium and Claims'!E15+'Pt 2 Premium and Claims'!E16+'Pt 2 Premium and Claims'!E17</f>
        <v>299903647.62400001</v>
      </c>
      <c r="F5" s="112"/>
      <c r="G5" s="112"/>
      <c r="H5" s="112"/>
      <c r="I5" s="111">
        <f>'Pt 2 Premium and Claims'!I5+'Pt 2 Premium and Claims'!I6-'Pt 2 Premium and Claims'!I7-'Pt 2 Premium and Claims'!I13+'Pt 2 Premium and Claims'!I14+'Pt 2 Premium and Claims'!I15+'Pt 2 Premium and Claims'!I16+'Pt 2 Premium and Claims'!I17</f>
        <v>292033059</v>
      </c>
      <c r="J5" s="111">
        <f>'Pt 2 Premium and Claims'!J5+'Pt 2 Premium and Claims'!J6-'Pt 2 Premium and Claims'!J7-'Pt 2 Premium and Claims'!J13+'Pt 2 Premium and Claims'!J14+'Pt 2 Premium and Claims'!J15+'Pt 2 Premium and Claims'!J16+'Pt 2 Premium and Claims'!J17</f>
        <v>33779349</v>
      </c>
      <c r="K5" s="112">
        <f>'Pt 2 Premium and Claims'!K5+'Pt 2 Premium and Claims'!K6-'Pt 2 Premium and Claims'!K7-'Pt 2 Premium and Claims'!K13+'Pt 2 Premium and Claims'!K14+'Pt 2 Premium and Claims'!K15+'Pt 2 Premium and Claims'!K16+'Pt 2 Premium and Claims'!K17</f>
        <v>33953117</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211408835</v>
      </c>
      <c r="Q5" s="112">
        <f>'Pt 2 Premium and Claims'!Q5+'Pt 2 Premium and Claims'!Q6-'Pt 2 Premium and Claims'!Q7-'Pt 2 Premium and Claims'!Q13+'Pt 2 Premium and Claims'!Q14</f>
        <v>211403335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75712072</v>
      </c>
      <c r="AT5" s="113">
        <f>'Pt 2 Premium and Claims'!AT5+'Pt 2 Premium and Claims'!AT6-'Pt 2 Premium and Claims'!AT7-'Pt 2 Premium and Claims'!AT13+'Pt 2 Premium and Claims'!AT14</f>
        <v>379591436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-271959</v>
      </c>
      <c r="E7" s="116">
        <f>D7</f>
        <v>-271959</v>
      </c>
      <c r="F7" s="116"/>
      <c r="G7" s="116"/>
      <c r="H7" s="116"/>
      <c r="I7" s="115">
        <v>-271869</v>
      </c>
      <c r="J7" s="115">
        <v>-39494</v>
      </c>
      <c r="K7" s="116">
        <f>J7</f>
        <v>-39494</v>
      </c>
      <c r="L7" s="116"/>
      <c r="M7" s="116"/>
      <c r="N7" s="116"/>
      <c r="O7" s="115">
        <v>0</v>
      </c>
      <c r="P7" s="115">
        <v>-247168</v>
      </c>
      <c r="Q7" s="116">
        <f>P7</f>
        <v>-247168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-443375</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319299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184421136</v>
      </c>
      <c r="E12" s="112">
        <f>'Pt 2 Premium and Claims'!E54</f>
        <v>311394311</v>
      </c>
      <c r="F12" s="112"/>
      <c r="G12" s="112"/>
      <c r="H12" s="112"/>
      <c r="I12" s="111">
        <f>'Pt 2 Premium and Claims'!I54</f>
        <v>311033391</v>
      </c>
      <c r="J12" s="111">
        <f>'Pt 2 Premium and Claims'!J54</f>
        <v>25008816</v>
      </c>
      <c r="K12" s="112">
        <f>'Pt 2 Premium and Claims'!K54</f>
        <v>26158312</v>
      </c>
      <c r="L12" s="112"/>
      <c r="M12" s="112"/>
      <c r="N12" s="112"/>
      <c r="O12" s="111">
        <f>'Pt 2 Premium and Claims'!O54</f>
        <v>0</v>
      </c>
      <c r="P12" s="111">
        <f>'Pt 2 Premium and Claims'!P54</f>
        <v>174476505</v>
      </c>
      <c r="Q12" s="112">
        <f>'Pt 2 Premium and Claims'!Q54</f>
        <v>177824783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69012988</v>
      </c>
      <c r="AT12" s="113">
        <f>'Pt 2 Premium and Claims'!AT54</f>
        <v>308084699</v>
      </c>
      <c r="AU12" s="113">
        <f>'Pt 2 Premium and Claims'!AU54</f>
        <v>0</v>
      </c>
      <c r="AV12" s="318"/>
      <c r="AW12" s="323"/>
    </row>
    <row r="13" spans="1:49" ht="25.5" x14ac:dyDescent="0.2">
      <c r="B13" s="161" t="s">
        <v>230</v>
      </c>
      <c r="C13" s="68" t="s">
        <v>37</v>
      </c>
      <c r="D13" s="115">
        <v>33133046</v>
      </c>
      <c r="E13" s="116">
        <v>34219401</v>
      </c>
      <c r="F13" s="116"/>
      <c r="G13" s="295"/>
      <c r="H13" s="296"/>
      <c r="I13" s="115">
        <v>34215355</v>
      </c>
      <c r="J13" s="115">
        <v>3421981</v>
      </c>
      <c r="K13" s="116">
        <v>3407064</v>
      </c>
      <c r="L13" s="116"/>
      <c r="M13" s="295"/>
      <c r="N13" s="296"/>
      <c r="O13" s="115">
        <v>0</v>
      </c>
      <c r="P13" s="115">
        <v>25673680</v>
      </c>
      <c r="Q13" s="116">
        <v>25452255</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91330676</v>
      </c>
      <c r="AT13" s="119">
        <v>0</v>
      </c>
      <c r="AU13" s="119">
        <v>0</v>
      </c>
      <c r="AV13" s="317"/>
      <c r="AW13" s="324"/>
    </row>
    <row r="14" spans="1:49" ht="25.5" x14ac:dyDescent="0.2">
      <c r="B14" s="161" t="s">
        <v>231</v>
      </c>
      <c r="C14" s="68" t="s">
        <v>6</v>
      </c>
      <c r="D14" s="115">
        <v>2205668</v>
      </c>
      <c r="E14" s="116">
        <v>678066</v>
      </c>
      <c r="F14" s="116"/>
      <c r="G14" s="294"/>
      <c r="H14" s="297"/>
      <c r="I14" s="115">
        <v>797566</v>
      </c>
      <c r="J14" s="115">
        <v>621073</v>
      </c>
      <c r="K14" s="116">
        <v>533449</v>
      </c>
      <c r="L14" s="116"/>
      <c r="M14" s="294"/>
      <c r="N14" s="297"/>
      <c r="O14" s="115">
        <v>0</v>
      </c>
      <c r="P14" s="115">
        <v>3671135</v>
      </c>
      <c r="Q14" s="116">
        <v>2935330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25596500</v>
      </c>
      <c r="AT14" s="119">
        <v>958926</v>
      </c>
      <c r="AU14" s="119">
        <v>0</v>
      </c>
      <c r="AV14" s="317"/>
      <c r="AW14" s="324"/>
    </row>
    <row r="15" spans="1:49" ht="38.25" x14ac:dyDescent="0.2">
      <c r="B15" s="161" t="s">
        <v>232</v>
      </c>
      <c r="C15" s="68" t="s">
        <v>7</v>
      </c>
      <c r="D15" s="115">
        <v>46673</v>
      </c>
      <c r="E15" s="116">
        <v>55117</v>
      </c>
      <c r="F15" s="116"/>
      <c r="G15" s="294"/>
      <c r="H15" s="300"/>
      <c r="I15" s="115">
        <v>55117</v>
      </c>
      <c r="J15" s="115">
        <v>8203</v>
      </c>
      <c r="K15" s="116">
        <v>7353</v>
      </c>
      <c r="L15" s="116"/>
      <c r="M15" s="294"/>
      <c r="N15" s="300"/>
      <c r="O15" s="115">
        <v>0</v>
      </c>
      <c r="P15" s="115">
        <v>112896</v>
      </c>
      <c r="Q15" s="116">
        <v>84697</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34670</v>
      </c>
      <c r="E17" s="294"/>
      <c r="F17" s="297"/>
      <c r="G17" s="297"/>
      <c r="H17" s="297"/>
      <c r="I17" s="298"/>
      <c r="J17" s="115">
        <v>0</v>
      </c>
      <c r="K17" s="294"/>
      <c r="L17" s="297"/>
      <c r="M17" s="297"/>
      <c r="N17" s="297"/>
      <c r="O17" s="298"/>
      <c r="P17" s="115">
        <v>337282</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535928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-24144259</v>
      </c>
      <c r="E25" s="116">
        <f>D25</f>
        <v>-24144259</v>
      </c>
      <c r="F25" s="116"/>
      <c r="G25" s="116"/>
      <c r="H25" s="116"/>
      <c r="I25" s="115">
        <v>-42367884</v>
      </c>
      <c r="J25" s="115">
        <v>1696193</v>
      </c>
      <c r="K25" s="116">
        <f>J25</f>
        <v>1696193</v>
      </c>
      <c r="L25" s="116"/>
      <c r="M25" s="116"/>
      <c r="N25" s="116"/>
      <c r="O25" s="115">
        <v>0</v>
      </c>
      <c r="P25" s="115">
        <v>4742902</v>
      </c>
      <c r="Q25" s="116">
        <f>P25</f>
        <v>4742902</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-89709</v>
      </c>
      <c r="AT25" s="119">
        <v>13199802</v>
      </c>
      <c r="AU25" s="119">
        <v>0</v>
      </c>
      <c r="AV25" s="119">
        <v>19928068</v>
      </c>
      <c r="AW25" s="324"/>
    </row>
    <row r="26" spans="1:49" s="11" customFormat="1" x14ac:dyDescent="0.2">
      <c r="A26" s="41"/>
      <c r="B26" s="164" t="s">
        <v>243</v>
      </c>
      <c r="C26" s="68"/>
      <c r="D26" s="115">
        <v>88365</v>
      </c>
      <c r="E26" s="116">
        <f>D26</f>
        <v>88365</v>
      </c>
      <c r="F26" s="116"/>
      <c r="G26" s="116"/>
      <c r="H26" s="116"/>
      <c r="I26" s="115">
        <v>88336</v>
      </c>
      <c r="J26" s="115">
        <v>12616</v>
      </c>
      <c r="K26" s="116">
        <f>J26</f>
        <v>12616</v>
      </c>
      <c r="L26" s="116"/>
      <c r="M26" s="116"/>
      <c r="N26" s="116"/>
      <c r="O26" s="115">
        <v>0</v>
      </c>
      <c r="P26" s="115">
        <v>105070</v>
      </c>
      <c r="Q26" s="116">
        <f>P26</f>
        <v>105070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233</v>
      </c>
      <c r="AU26" s="119">
        <v>0</v>
      </c>
      <c r="AV26" s="119">
        <v>0</v>
      </c>
      <c r="AW26" s="324"/>
    </row>
    <row r="27" spans="1:49" s="11" customFormat="1" x14ac:dyDescent="0.2">
      <c r="B27" s="164" t="s">
        <v>244</v>
      </c>
      <c r="C27" s="68"/>
      <c r="D27" s="115">
        <v>3147622</v>
      </c>
      <c r="E27" s="116">
        <f>D27</f>
        <v>3147622</v>
      </c>
      <c r="F27" s="116"/>
      <c r="G27" s="116"/>
      <c r="H27" s="116"/>
      <c r="I27" s="115">
        <v>3146583</v>
      </c>
      <c r="J27" s="115">
        <v>491101</v>
      </c>
      <c r="K27" s="116">
        <f>J27</f>
        <v>491101</v>
      </c>
      <c r="L27" s="116"/>
      <c r="M27" s="116"/>
      <c r="N27" s="116"/>
      <c r="O27" s="115">
        <v>0</v>
      </c>
      <c r="P27" s="115">
        <v>3259528</v>
      </c>
      <c r="Q27" s="116">
        <f>P27</f>
        <v>3259528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1194827</v>
      </c>
      <c r="AT27" s="119">
        <v>2074985</v>
      </c>
      <c r="AU27" s="119">
        <v>0</v>
      </c>
      <c r="AV27" s="320"/>
      <c r="AW27" s="324"/>
    </row>
    <row r="28" spans="1:49" s="11" customFormat="1" x14ac:dyDescent="0.2">
      <c r="A28" s="41"/>
      <c r="B28" s="164" t="s">
        <v>245</v>
      </c>
      <c r="C28" s="68"/>
      <c r="D28" s="115">
        <v>556834</v>
      </c>
      <c r="E28" s="116">
        <f>D28</f>
        <v>556834</v>
      </c>
      <c r="F28" s="116"/>
      <c r="G28" s="116"/>
      <c r="H28" s="116"/>
      <c r="I28" s="115">
        <v>556650</v>
      </c>
      <c r="J28" s="115">
        <v>86879</v>
      </c>
      <c r="K28" s="116">
        <f>J28</f>
        <v>86879</v>
      </c>
      <c r="L28" s="116"/>
      <c r="M28" s="116"/>
      <c r="N28" s="116"/>
      <c r="O28" s="115">
        <v>0</v>
      </c>
      <c r="P28" s="115">
        <v>576593</v>
      </c>
      <c r="Q28" s="116">
        <f>P28</f>
        <v>576593</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63645</v>
      </c>
      <c r="AT28" s="119">
        <v>460268</v>
      </c>
      <c r="AU28" s="119">
        <v>0</v>
      </c>
      <c r="AV28" s="119">
        <v>7136937</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721281</v>
      </c>
      <c r="E30" s="116">
        <f>D30</f>
        <v>721281</v>
      </c>
      <c r="F30" s="116"/>
      <c r="G30" s="116"/>
      <c r="H30" s="116"/>
      <c r="I30" s="115">
        <v>721043</v>
      </c>
      <c r="J30" s="115">
        <v>104907</v>
      </c>
      <c r="K30" s="116">
        <f>J30</f>
        <v>104907</v>
      </c>
      <c r="L30" s="116"/>
      <c r="M30" s="116"/>
      <c r="N30" s="116"/>
      <c r="O30" s="115">
        <v>0</v>
      </c>
      <c r="P30" s="115">
        <v>657597</v>
      </c>
      <c r="Q30" s="116">
        <f>P30</f>
        <v>657597</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1165142</v>
      </c>
      <c r="AU30" s="119">
        <v>0</v>
      </c>
      <c r="AV30" s="119">
        <v>222055</v>
      </c>
      <c r="AW30" s="324"/>
    </row>
    <row r="31" spans="1:49" x14ac:dyDescent="0.2">
      <c r="B31" s="164" t="s">
        <v>248</v>
      </c>
      <c r="C31" s="68"/>
      <c r="D31" s="115">
        <v>4064134</v>
      </c>
      <c r="E31" s="116">
        <f>D31</f>
        <v>4064134</v>
      </c>
      <c r="F31" s="116"/>
      <c r="G31" s="116"/>
      <c r="H31" s="116"/>
      <c r="I31" s="115">
        <v>4062792</v>
      </c>
      <c r="J31" s="115">
        <v>590189</v>
      </c>
      <c r="K31" s="116">
        <f>J31</f>
        <v>590189</v>
      </c>
      <c r="L31" s="116"/>
      <c r="M31" s="116"/>
      <c r="N31" s="116"/>
      <c r="O31" s="115">
        <v>0</v>
      </c>
      <c r="P31" s="115">
        <v>3694593</v>
      </c>
      <c r="Q31" s="116">
        <f>P31</f>
        <v>3694593</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6632572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2456251</v>
      </c>
      <c r="E34" s="116">
        <f>D34</f>
        <v>2456251</v>
      </c>
      <c r="F34" s="116"/>
      <c r="G34" s="116"/>
      <c r="H34" s="116"/>
      <c r="I34" s="115">
        <v>2455440</v>
      </c>
      <c r="J34" s="115">
        <v>395669</v>
      </c>
      <c r="K34" s="116">
        <f>J34</f>
        <v>395669</v>
      </c>
      <c r="L34" s="116"/>
      <c r="M34" s="116"/>
      <c r="N34" s="116"/>
      <c r="O34" s="115">
        <v>0</v>
      </c>
      <c r="P34" s="115">
        <v>3086449</v>
      </c>
      <c r="Q34" s="116">
        <f>P34</f>
        <v>3086449</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5143899</v>
      </c>
      <c r="E35" s="116">
        <f>D35</f>
        <v>5143899</v>
      </c>
      <c r="F35" s="116"/>
      <c r="G35" s="116"/>
      <c r="H35" s="116"/>
      <c r="I35" s="115">
        <v>5142201</v>
      </c>
      <c r="J35" s="115">
        <v>1740</v>
      </c>
      <c r="K35" s="116">
        <f>J35</f>
        <v>1740</v>
      </c>
      <c r="L35" s="116"/>
      <c r="M35" s="116"/>
      <c r="N35" s="116"/>
      <c r="O35" s="115">
        <v>0</v>
      </c>
      <c r="P35" s="115">
        <v>11548</v>
      </c>
      <c r="Q35" s="116">
        <f>P35</f>
        <v>11548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5</v>
      </c>
      <c r="AT35" s="119">
        <v>47312</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374941</v>
      </c>
      <c r="E37" s="124">
        <v>375886</v>
      </c>
      <c r="F37" s="124"/>
      <c r="G37" s="124"/>
      <c r="H37" s="124"/>
      <c r="I37" s="123">
        <v>375762</v>
      </c>
      <c r="J37" s="123">
        <v>55533</v>
      </c>
      <c r="K37" s="124">
        <v>55474</v>
      </c>
      <c r="L37" s="124"/>
      <c r="M37" s="124"/>
      <c r="N37" s="124"/>
      <c r="O37" s="123">
        <v>0</v>
      </c>
      <c r="P37" s="123">
        <v>374946</v>
      </c>
      <c r="Q37" s="124">
        <v>374171</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1597194</v>
      </c>
      <c r="AT37" s="125">
        <v>8359</v>
      </c>
      <c r="AU37" s="125">
        <v>0</v>
      </c>
      <c r="AV37" s="125">
        <v>8705795</v>
      </c>
      <c r="AW37" s="323"/>
    </row>
    <row r="38" spans="1:49" x14ac:dyDescent="0.2">
      <c r="B38" s="161" t="s">
        <v>255</v>
      </c>
      <c r="C38" s="68" t="s">
        <v>16</v>
      </c>
      <c r="D38" s="115">
        <v>53099</v>
      </c>
      <c r="E38" s="116">
        <v>53675</v>
      </c>
      <c r="F38" s="116"/>
      <c r="G38" s="116"/>
      <c r="H38" s="116"/>
      <c r="I38" s="115">
        <v>53657</v>
      </c>
      <c r="J38" s="115">
        <v>5491</v>
      </c>
      <c r="K38" s="116">
        <v>5485</v>
      </c>
      <c r="L38" s="116"/>
      <c r="M38" s="116"/>
      <c r="N38" s="116"/>
      <c r="O38" s="115">
        <v>0</v>
      </c>
      <c r="P38" s="115">
        <v>36948</v>
      </c>
      <c r="Q38" s="116">
        <v>37242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646</v>
      </c>
      <c r="AU38" s="119">
        <v>0</v>
      </c>
      <c r="AV38" s="119">
        <v>706446</v>
      </c>
      <c r="AW38" s="324"/>
    </row>
    <row r="39" spans="1:49" x14ac:dyDescent="0.2">
      <c r="B39" s="164" t="s">
        <v>256</v>
      </c>
      <c r="C39" s="68" t="s">
        <v>17</v>
      </c>
      <c r="D39" s="115">
        <v>364912</v>
      </c>
      <c r="E39" s="116">
        <v>412591</v>
      </c>
      <c r="F39" s="116"/>
      <c r="G39" s="116"/>
      <c r="H39" s="116"/>
      <c r="I39" s="115">
        <v>412455</v>
      </c>
      <c r="J39" s="115">
        <v>48125</v>
      </c>
      <c r="K39" s="116">
        <v>48333</v>
      </c>
      <c r="L39" s="116"/>
      <c r="M39" s="116"/>
      <c r="N39" s="116"/>
      <c r="O39" s="115">
        <v>0</v>
      </c>
      <c r="P39" s="115">
        <v>307405</v>
      </c>
      <c r="Q39" s="116">
        <v>305889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6292</v>
      </c>
      <c r="AU39" s="119">
        <v>0</v>
      </c>
      <c r="AV39" s="119">
        <v>246432</v>
      </c>
      <c r="AW39" s="324"/>
    </row>
    <row r="40" spans="1:49" x14ac:dyDescent="0.2">
      <c r="B40" s="164" t="s">
        <v>257</v>
      </c>
      <c r="C40" s="68" t="s">
        <v>38</v>
      </c>
      <c r="D40" s="115">
        <v>125487</v>
      </c>
      <c r="E40" s="116">
        <v>125492</v>
      </c>
      <c r="F40" s="116"/>
      <c r="G40" s="116"/>
      <c r="H40" s="116"/>
      <c r="I40" s="115">
        <v>125451</v>
      </c>
      <c r="J40" s="115">
        <v>16705</v>
      </c>
      <c r="K40" s="116">
        <v>16702</v>
      </c>
      <c r="L40" s="116"/>
      <c r="M40" s="116"/>
      <c r="N40" s="116"/>
      <c r="O40" s="115">
        <v>0</v>
      </c>
      <c r="P40" s="115">
        <v>113699</v>
      </c>
      <c r="Q40" s="116">
        <v>113913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6475</v>
      </c>
      <c r="AU40" s="119">
        <v>0</v>
      </c>
      <c r="AV40" s="119">
        <v>1481103</v>
      </c>
      <c r="AW40" s="324"/>
    </row>
    <row r="41" spans="1:49" s="11" customFormat="1" ht="25.5" x14ac:dyDescent="0.2">
      <c r="A41" s="41"/>
      <c r="B41" s="164" t="s">
        <v>258</v>
      </c>
      <c r="C41" s="68" t="s">
        <v>129</v>
      </c>
      <c r="D41" s="115">
        <v>351512</v>
      </c>
      <c r="E41" s="116">
        <v>351534</v>
      </c>
      <c r="F41" s="116"/>
      <c r="G41" s="116"/>
      <c r="H41" s="116"/>
      <c r="I41" s="115">
        <v>351418</v>
      </c>
      <c r="J41" s="115">
        <v>50627</v>
      </c>
      <c r="K41" s="116">
        <v>50626</v>
      </c>
      <c r="L41" s="116"/>
      <c r="M41" s="116"/>
      <c r="N41" s="116"/>
      <c r="O41" s="115">
        <v>0</v>
      </c>
      <c r="P41" s="115">
        <v>344540</v>
      </c>
      <c r="Q41" s="116">
        <v>344612</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6</v>
      </c>
      <c r="AT41" s="119">
        <v>34478</v>
      </c>
      <c r="AU41" s="119">
        <v>0</v>
      </c>
      <c r="AV41" s="119">
        <v>3462769</v>
      </c>
      <c r="AW41" s="324"/>
    </row>
    <row r="42" spans="1:49" s="11" customFormat="1" ht="24.95" customHeight="1" x14ac:dyDescent="0.2">
      <c r="A42" s="41"/>
      <c r="B42" s="161" t="s">
        <v>259</v>
      </c>
      <c r="C42" s="68" t="s">
        <v>87</v>
      </c>
      <c r="D42" s="115">
        <v>98655</v>
      </c>
      <c r="E42" s="116">
        <f>D42</f>
        <v>98655</v>
      </c>
      <c r="F42" s="116"/>
      <c r="G42" s="116"/>
      <c r="H42" s="116"/>
      <c r="I42" s="115">
        <v>98622</v>
      </c>
      <c r="J42" s="115">
        <v>15393</v>
      </c>
      <c r="K42" s="116">
        <f>J42</f>
        <v>15393</v>
      </c>
      <c r="L42" s="116"/>
      <c r="M42" s="116"/>
      <c r="N42" s="116"/>
      <c r="O42" s="115">
        <v>0</v>
      </c>
      <c r="P42" s="115">
        <v>101756</v>
      </c>
      <c r="Q42" s="116">
        <f>P42</f>
        <v>101756</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400</v>
      </c>
      <c r="AU42" s="119">
        <v>0</v>
      </c>
      <c r="AV42" s="119">
        <v>600615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11628698</v>
      </c>
      <c r="E44" s="124">
        <v>11758917</v>
      </c>
      <c r="F44" s="124"/>
      <c r="G44" s="124"/>
      <c r="H44" s="124"/>
      <c r="I44" s="123">
        <v>11755036</v>
      </c>
      <c r="J44" s="123">
        <v>1003359</v>
      </c>
      <c r="K44" s="124">
        <v>979130</v>
      </c>
      <c r="L44" s="124"/>
      <c r="M44" s="124"/>
      <c r="N44" s="124"/>
      <c r="O44" s="123">
        <v>0</v>
      </c>
      <c r="P44" s="123">
        <v>5546002</v>
      </c>
      <c r="Q44" s="124">
        <v>5536078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230159</v>
      </c>
      <c r="AU44" s="125">
        <v>0</v>
      </c>
      <c r="AV44" s="125">
        <v>35430539</v>
      </c>
      <c r="AW44" s="323"/>
    </row>
    <row r="45" spans="1:49" x14ac:dyDescent="0.2">
      <c r="B45" s="167" t="s">
        <v>262</v>
      </c>
      <c r="C45" s="68" t="s">
        <v>19</v>
      </c>
      <c r="D45" s="115">
        <v>566858</v>
      </c>
      <c r="E45" s="116">
        <f>D45</f>
        <v>566858</v>
      </c>
      <c r="F45" s="116"/>
      <c r="G45" s="116"/>
      <c r="H45" s="116"/>
      <c r="I45" s="115">
        <v>566671</v>
      </c>
      <c r="J45" s="115">
        <v>11984</v>
      </c>
      <c r="K45" s="116">
        <f>J45</f>
        <v>11984</v>
      </c>
      <c r="L45" s="116"/>
      <c r="M45" s="116"/>
      <c r="N45" s="116"/>
      <c r="O45" s="115">
        <v>0</v>
      </c>
      <c r="P45" s="115">
        <v>78310</v>
      </c>
      <c r="Q45" s="116">
        <f>P45</f>
        <v>78310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3223</v>
      </c>
      <c r="AT45" s="119">
        <v>56913</v>
      </c>
      <c r="AU45" s="119">
        <v>0</v>
      </c>
      <c r="AV45" s="119">
        <v>53601</v>
      </c>
      <c r="AW45" s="324"/>
    </row>
    <row r="46" spans="1:49" x14ac:dyDescent="0.2">
      <c r="B46" s="167" t="s">
        <v>263</v>
      </c>
      <c r="C46" s="68" t="s">
        <v>20</v>
      </c>
      <c r="D46" s="115">
        <v>5857388</v>
      </c>
      <c r="E46" s="116">
        <f>D46</f>
        <v>5857388</v>
      </c>
      <c r="F46" s="116"/>
      <c r="G46" s="116"/>
      <c r="H46" s="116"/>
      <c r="I46" s="115">
        <v>5855455</v>
      </c>
      <c r="J46" s="115">
        <v>123833</v>
      </c>
      <c r="K46" s="116">
        <f>J46</f>
        <v>123833</v>
      </c>
      <c r="L46" s="116"/>
      <c r="M46" s="116"/>
      <c r="N46" s="116"/>
      <c r="O46" s="115">
        <v>0</v>
      </c>
      <c r="P46" s="115">
        <v>809396</v>
      </c>
      <c r="Q46" s="116">
        <f>P46</f>
        <v>809396</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1096799</v>
      </c>
      <c r="AU46" s="119">
        <v>0</v>
      </c>
      <c r="AV46" s="119">
        <v>12110386</v>
      </c>
      <c r="AW46" s="324"/>
    </row>
    <row r="47" spans="1:49" x14ac:dyDescent="0.2">
      <c r="B47" s="167" t="s">
        <v>264</v>
      </c>
      <c r="C47" s="68" t="s">
        <v>21</v>
      </c>
      <c r="D47" s="115">
        <v>2900053</v>
      </c>
      <c r="E47" s="116">
        <f>D47</f>
        <v>2900053</v>
      </c>
      <c r="F47" s="116"/>
      <c r="G47" s="116"/>
      <c r="H47" s="116"/>
      <c r="I47" s="115">
        <v>2900053</v>
      </c>
      <c r="J47" s="115">
        <v>717903</v>
      </c>
      <c r="K47" s="116">
        <f>J47</f>
        <v>717903</v>
      </c>
      <c r="L47" s="116"/>
      <c r="M47" s="116"/>
      <c r="N47" s="116"/>
      <c r="O47" s="115">
        <v>0</v>
      </c>
      <c r="P47" s="115">
        <v>4493707</v>
      </c>
      <c r="Q47" s="116">
        <f>P47</f>
        <v>4493707</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44826</v>
      </c>
      <c r="AT47" s="119">
        <v>8270413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-589</v>
      </c>
      <c r="E49" s="116">
        <f>D49</f>
        <v>-589</v>
      </c>
      <c r="F49" s="116"/>
      <c r="G49" s="116"/>
      <c r="H49" s="116"/>
      <c r="I49" s="115">
        <v>-589</v>
      </c>
      <c r="J49" s="115">
        <v>-92</v>
      </c>
      <c r="K49" s="116">
        <f>J49</f>
        <v>-92</v>
      </c>
      <c r="L49" s="116"/>
      <c r="M49" s="116"/>
      <c r="N49" s="116"/>
      <c r="O49" s="115">
        <v>0</v>
      </c>
      <c r="P49" s="115">
        <v>-631</v>
      </c>
      <c r="Q49" s="116">
        <f>P49</f>
        <v>-631</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1491</v>
      </c>
      <c r="AU49" s="119">
        <v>0</v>
      </c>
      <c r="AV49" s="119">
        <v>0</v>
      </c>
      <c r="AW49" s="324"/>
    </row>
    <row r="50" spans="2:49" ht="25.5" x14ac:dyDescent="0.2">
      <c r="B50" s="161" t="s">
        <v>266</v>
      </c>
      <c r="C50" s="68"/>
      <c r="D50" s="115">
        <v>38844</v>
      </c>
      <c r="E50" s="116">
        <f>D50</f>
        <v>38844</v>
      </c>
      <c r="F50" s="116"/>
      <c r="G50" s="116"/>
      <c r="H50" s="116"/>
      <c r="I50" s="115">
        <v>38831</v>
      </c>
      <c r="J50" s="115">
        <v>6061</v>
      </c>
      <c r="K50" s="116">
        <f>J50</f>
        <v>6061</v>
      </c>
      <c r="L50" s="116"/>
      <c r="M50" s="116"/>
      <c r="N50" s="116"/>
      <c r="O50" s="115">
        <v>0</v>
      </c>
      <c r="P50" s="115">
        <v>40240</v>
      </c>
      <c r="Q50" s="116">
        <f>P50</f>
        <v>40240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68144</v>
      </c>
      <c r="AT50" s="119">
        <v>7739</v>
      </c>
      <c r="AU50" s="119">
        <v>0</v>
      </c>
      <c r="AV50" s="119">
        <v>0</v>
      </c>
      <c r="AW50" s="324"/>
    </row>
    <row r="51" spans="2:49" x14ac:dyDescent="0.2">
      <c r="B51" s="161" t="s">
        <v>267</v>
      </c>
      <c r="C51" s="68"/>
      <c r="D51" s="115">
        <v>29582387</v>
      </c>
      <c r="E51" s="116">
        <f>D51</f>
        <v>29582387</v>
      </c>
      <c r="F51" s="116"/>
      <c r="G51" s="116"/>
      <c r="H51" s="116"/>
      <c r="I51" s="115">
        <v>29572622</v>
      </c>
      <c r="J51" s="115">
        <v>625411</v>
      </c>
      <c r="K51" s="116">
        <f>J51</f>
        <v>625411</v>
      </c>
      <c r="L51" s="116"/>
      <c r="M51" s="116"/>
      <c r="N51" s="116"/>
      <c r="O51" s="115">
        <v>0</v>
      </c>
      <c r="P51" s="115">
        <v>4088394</v>
      </c>
      <c r="Q51" s="116">
        <f>P51</f>
        <v>4088394</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5252251</v>
      </c>
      <c r="AT51" s="119">
        <v>15274711</v>
      </c>
      <c r="AU51" s="119">
        <v>0</v>
      </c>
      <c r="AV51" s="119">
        <v>212462209</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101478</v>
      </c>
      <c r="E53" s="116">
        <f>D53</f>
        <v>101478</v>
      </c>
      <c r="F53" s="116"/>
      <c r="G53" s="295"/>
      <c r="H53" s="295"/>
      <c r="I53" s="115">
        <v>101444</v>
      </c>
      <c r="J53" s="115">
        <v>15833</v>
      </c>
      <c r="K53" s="116">
        <f>J53</f>
        <v>15833</v>
      </c>
      <c r="L53" s="116"/>
      <c r="M53" s="295"/>
      <c r="N53" s="295"/>
      <c r="O53" s="115">
        <v>0</v>
      </c>
      <c r="P53" s="115">
        <v>104680</v>
      </c>
      <c r="Q53" s="116">
        <f>P53</f>
        <v>104680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4512</v>
      </c>
      <c r="AT53" s="119">
        <v>36769</v>
      </c>
      <c r="AU53" s="119">
        <v>0</v>
      </c>
      <c r="AV53" s="119">
        <v>751361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339747966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31089</v>
      </c>
      <c r="E56" s="128">
        <f>D56</f>
        <v>31089</v>
      </c>
      <c r="F56" s="128"/>
      <c r="G56" s="128"/>
      <c r="H56" s="128"/>
      <c r="I56" s="127">
        <v>31083</v>
      </c>
      <c r="J56" s="127">
        <v>4026</v>
      </c>
      <c r="K56" s="128">
        <f>J56</f>
        <v>4026</v>
      </c>
      <c r="L56" s="128"/>
      <c r="M56" s="128"/>
      <c r="N56" s="128"/>
      <c r="O56" s="127">
        <v>0</v>
      </c>
      <c r="P56" s="127">
        <v>23893</v>
      </c>
      <c r="Q56" s="128">
        <f>P56</f>
        <v>23893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68800</v>
      </c>
      <c r="AT56" s="129">
        <v>278751</v>
      </c>
      <c r="AU56" s="129">
        <v>0</v>
      </c>
      <c r="AV56" s="129">
        <v>1050090</v>
      </c>
      <c r="AW56" s="315"/>
    </row>
    <row r="57" spans="2:49" x14ac:dyDescent="0.2">
      <c r="B57" s="167" t="s">
        <v>273</v>
      </c>
      <c r="C57" s="68" t="s">
        <v>25</v>
      </c>
      <c r="D57" s="130">
        <v>51512</v>
      </c>
      <c r="E57" s="131">
        <f>D57</f>
        <v>51512</v>
      </c>
      <c r="F57" s="131"/>
      <c r="G57" s="131"/>
      <c r="H57" s="131"/>
      <c r="I57" s="130">
        <v>51505</v>
      </c>
      <c r="J57" s="130">
        <v>7520</v>
      </c>
      <c r="K57" s="131">
        <f>J57</f>
        <v>7520</v>
      </c>
      <c r="L57" s="131"/>
      <c r="M57" s="131"/>
      <c r="N57" s="131"/>
      <c r="O57" s="130">
        <v>0</v>
      </c>
      <c r="P57" s="130">
        <v>46087</v>
      </c>
      <c r="Q57" s="131">
        <f>P57</f>
        <v>46087</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68998</v>
      </c>
      <c r="AT57" s="132">
        <v>558976</v>
      </c>
      <c r="AU57" s="132">
        <v>0</v>
      </c>
      <c r="AV57" s="132">
        <v>2283849</v>
      </c>
      <c r="AW57" s="316"/>
    </row>
    <row r="58" spans="2:49" x14ac:dyDescent="0.2">
      <c r="B58" s="167" t="s">
        <v>274</v>
      </c>
      <c r="C58" s="68" t="s">
        <v>26</v>
      </c>
      <c r="D58" s="336"/>
      <c r="E58" s="337"/>
      <c r="F58" s="337"/>
      <c r="G58" s="337"/>
      <c r="H58" s="337"/>
      <c r="I58" s="336"/>
      <c r="J58" s="130">
        <v>53</v>
      </c>
      <c r="K58" s="131">
        <f>J58</f>
        <v>53</v>
      </c>
      <c r="L58" s="131"/>
      <c r="M58" s="131"/>
      <c r="N58" s="131"/>
      <c r="O58" s="130">
        <v>0</v>
      </c>
      <c r="P58" s="130">
        <v>123</v>
      </c>
      <c r="Q58" s="131">
        <f>P58</f>
        <v>123</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5</v>
      </c>
      <c r="AT58" s="132">
        <v>1226</v>
      </c>
      <c r="AU58" s="132">
        <v>0</v>
      </c>
      <c r="AV58" s="132">
        <v>1051</v>
      </c>
      <c r="AW58" s="316"/>
    </row>
    <row r="59" spans="2:49" x14ac:dyDescent="0.2">
      <c r="B59" s="167" t="s">
        <v>275</v>
      </c>
      <c r="C59" s="68" t="s">
        <v>27</v>
      </c>
      <c r="D59" s="130">
        <v>501401</v>
      </c>
      <c r="E59" s="131">
        <v>501401</v>
      </c>
      <c r="F59" s="131"/>
      <c r="G59" s="131"/>
      <c r="H59" s="131"/>
      <c r="I59" s="130">
        <v>501235</v>
      </c>
      <c r="J59" s="130">
        <v>78230</v>
      </c>
      <c r="K59" s="131">
        <v>78230</v>
      </c>
      <c r="L59" s="131"/>
      <c r="M59" s="131"/>
      <c r="N59" s="131"/>
      <c r="O59" s="130">
        <v>0</v>
      </c>
      <c r="P59" s="130">
        <v>519268</v>
      </c>
      <c r="Q59" s="131">
        <v>519268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801179</v>
      </c>
      <c r="AT59" s="132">
        <v>6459176</v>
      </c>
      <c r="AU59" s="132">
        <v>0</v>
      </c>
      <c r="AV59" s="132">
        <v>26772842</v>
      </c>
      <c r="AW59" s="316"/>
    </row>
    <row r="60" spans="2:49" x14ac:dyDescent="0.2">
      <c r="B60" s="167" t="s">
        <v>276</v>
      </c>
      <c r="C60" s="68"/>
      <c r="D60" s="133">
        <f>D59/12</f>
        <v>41783.416666666664</v>
      </c>
      <c r="E60" s="134">
        <f>E59/12</f>
        <v>41783.416666666664</v>
      </c>
      <c r="F60" s="134"/>
      <c r="G60" s="134"/>
      <c r="H60" s="134"/>
      <c r="I60" s="133">
        <f>I59/12</f>
        <v>41769.583333333336</v>
      </c>
      <c r="J60" s="133">
        <f>J59/12</f>
        <v>6519.166666666667</v>
      </c>
      <c r="K60" s="134">
        <f>K59/12</f>
        <v>6519.166666666667</v>
      </c>
      <c r="L60" s="134"/>
      <c r="M60" s="134"/>
      <c r="N60" s="134"/>
      <c r="O60" s="133">
        <f>O59/12</f>
        <v>0</v>
      </c>
      <c r="P60" s="133">
        <f>P59/12</f>
        <v>43272.333333333336</v>
      </c>
      <c r="Q60" s="134">
        <f>Q59/12</f>
        <v>43272.333333333336</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66764.916666666672</v>
      </c>
      <c r="AT60" s="135">
        <f>AT59/12</f>
        <v>538264.66666666663</v>
      </c>
      <c r="AU60" s="135">
        <f>AU59/12</f>
        <v>0</v>
      </c>
      <c r="AV60" s="135">
        <f>AV59/12</f>
        <v>2231070.1666666665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14023203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4755290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187930331</v>
      </c>
      <c r="E5" s="124">
        <v>181597360</v>
      </c>
      <c r="F5" s="124"/>
      <c r="G5" s="136"/>
      <c r="H5" s="136"/>
      <c r="I5" s="123">
        <v>181400867</v>
      </c>
      <c r="J5" s="123">
        <v>34229419</v>
      </c>
      <c r="K5" s="124">
        <v>33477214</v>
      </c>
      <c r="L5" s="124"/>
      <c r="M5" s="124"/>
      <c r="N5" s="124"/>
      <c r="O5" s="123">
        <v>0</v>
      </c>
      <c r="P5" s="123">
        <v>211637505</v>
      </c>
      <c r="Q5" s="124">
        <v>209222875</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75745447</v>
      </c>
      <c r="AT5" s="125">
        <v>379913488</v>
      </c>
      <c r="AU5" s="125">
        <v>0</v>
      </c>
      <c r="AV5" s="318"/>
      <c r="AW5" s="323"/>
    </row>
    <row r="6" spans="2:49" x14ac:dyDescent="0.2">
      <c r="B6" s="182" t="s">
        <v>279</v>
      </c>
      <c r="C6" s="139" t="s">
        <v>8</v>
      </c>
      <c r="D6" s="115">
        <v>1200</v>
      </c>
      <c r="E6" s="116">
        <f>D6</f>
        <v>1200</v>
      </c>
      <c r="F6" s="116"/>
      <c r="G6" s="117"/>
      <c r="H6" s="117"/>
      <c r="I6" s="115">
        <v>0</v>
      </c>
      <c r="J6" s="115">
        <v>480431</v>
      </c>
      <c r="K6" s="116">
        <f>J6</f>
        <v>480431</v>
      </c>
      <c r="L6" s="116"/>
      <c r="M6" s="116"/>
      <c r="N6" s="116"/>
      <c r="O6" s="115">
        <v>0</v>
      </c>
      <c r="P6" s="115">
        <v>2190554</v>
      </c>
      <c r="Q6" s="116">
        <v>2190554</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288931</v>
      </c>
      <c r="AT6" s="119">
        <v>1641964</v>
      </c>
      <c r="AU6" s="119">
        <v>0</v>
      </c>
      <c r="AV6" s="317"/>
      <c r="AW6" s="324"/>
    </row>
    <row r="7" spans="2:49" x14ac:dyDescent="0.2">
      <c r="B7" s="182" t="s">
        <v>280</v>
      </c>
      <c r="C7" s="139" t="s">
        <v>9</v>
      </c>
      <c r="D7" s="115">
        <v>5070908</v>
      </c>
      <c r="E7" s="116"/>
      <c r="F7" s="116"/>
      <c r="G7" s="117"/>
      <c r="H7" s="117"/>
      <c r="I7" s="115"/>
      <c r="J7" s="115">
        <v>824988</v>
      </c>
      <c r="K7" s="116"/>
      <c r="L7" s="116"/>
      <c r="M7" s="116"/>
      <c r="N7" s="116"/>
      <c r="O7" s="115"/>
      <c r="P7" s="115">
        <v>2403962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312449</v>
      </c>
      <c r="AT7" s="119">
        <v>2069526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96040</v>
      </c>
      <c r="E9" s="294"/>
      <c r="F9" s="294"/>
      <c r="G9" s="294"/>
      <c r="H9" s="294"/>
      <c r="I9" s="298"/>
      <c r="J9" s="115">
        <f>J38</f>
        <v>0</v>
      </c>
      <c r="K9" s="294"/>
      <c r="L9" s="294"/>
      <c r="M9" s="294"/>
      <c r="N9" s="294"/>
      <c r="O9" s="298"/>
      <c r="P9" s="115">
        <f>P38</f>
        <v>467742</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205926</v>
      </c>
      <c r="AU9" s="119">
        <f>AU38</f>
        <v>0</v>
      </c>
      <c r="AV9" s="317"/>
      <c r="AW9" s="324"/>
    </row>
    <row r="10" spans="2:49" ht="25.5" x14ac:dyDescent="0.2">
      <c r="B10" s="184" t="s">
        <v>83</v>
      </c>
      <c r="C10" s="139"/>
      <c r="D10" s="299"/>
      <c r="E10" s="116">
        <f>E39</f>
        <v>96040</v>
      </c>
      <c r="F10" s="116"/>
      <c r="G10" s="116"/>
      <c r="H10" s="116"/>
      <c r="I10" s="115">
        <f>0</f>
        <v>0</v>
      </c>
      <c r="J10" s="299"/>
      <c r="K10" s="116">
        <f>K39</f>
        <v>0</v>
      </c>
      <c r="L10" s="116"/>
      <c r="M10" s="116"/>
      <c r="N10" s="116"/>
      <c r="O10" s="115">
        <f>0</f>
        <v>0</v>
      </c>
      <c r="P10" s="299"/>
      <c r="Q10" s="116">
        <f>Q39</f>
        <v>467742</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-52090104</v>
      </c>
      <c r="E11" s="116">
        <f>E42</f>
        <v>-158339</v>
      </c>
      <c r="F11" s="116"/>
      <c r="G11" s="116"/>
      <c r="H11" s="116"/>
      <c r="I11" s="115">
        <f>0</f>
        <v>0</v>
      </c>
      <c r="J11" s="115">
        <f>J41</f>
        <v>0</v>
      </c>
      <c r="K11" s="116">
        <f>K42</f>
        <v>0</v>
      </c>
      <c r="L11" s="116"/>
      <c r="M11" s="116"/>
      <c r="N11" s="116"/>
      <c r="O11" s="115">
        <f>0</f>
        <v>0</v>
      </c>
      <c r="P11" s="115">
        <f>P41</f>
        <v>3266743</v>
      </c>
      <c r="Q11" s="116">
        <f>Q42</f>
        <v>-852776</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925520</v>
      </c>
      <c r="AU11" s="119">
        <f>AU41</f>
        <v>0</v>
      </c>
      <c r="AV11" s="317"/>
      <c r="AW11" s="324"/>
    </row>
    <row r="12" spans="2:49" x14ac:dyDescent="0.2">
      <c r="B12" s="182" t="s">
        <v>283</v>
      </c>
      <c r="C12" s="139" t="s">
        <v>44</v>
      </c>
      <c r="D12" s="115">
        <f>D43</f>
        <v>158339</v>
      </c>
      <c r="E12" s="295"/>
      <c r="F12" s="295"/>
      <c r="G12" s="295"/>
      <c r="H12" s="295"/>
      <c r="I12" s="299"/>
      <c r="J12" s="115">
        <f>J43</f>
        <v>0</v>
      </c>
      <c r="K12" s="295"/>
      <c r="L12" s="295"/>
      <c r="M12" s="295"/>
      <c r="N12" s="295"/>
      <c r="O12" s="299"/>
      <c r="P12" s="115">
        <f>P43</f>
        <v>4119519</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1611906</v>
      </c>
      <c r="AU12" s="119">
        <f>AU43</f>
        <v>0</v>
      </c>
      <c r="AV12" s="317"/>
      <c r="AW12" s="324"/>
    </row>
    <row r="13" spans="2:49" x14ac:dyDescent="0.2">
      <c r="B13" s="182" t="s">
        <v>284</v>
      </c>
      <c r="C13" s="139" t="s">
        <v>10</v>
      </c>
      <c r="D13" s="115">
        <v>2340865</v>
      </c>
      <c r="E13" s="116">
        <v>4452597</v>
      </c>
      <c r="F13" s="116"/>
      <c r="G13" s="116"/>
      <c r="H13" s="116"/>
      <c r="I13" s="115">
        <v>4452607</v>
      </c>
      <c r="J13" s="115">
        <v>105513</v>
      </c>
      <c r="K13" s="116">
        <v>4528</v>
      </c>
      <c r="L13" s="116"/>
      <c r="M13" s="116"/>
      <c r="N13" s="116"/>
      <c r="O13" s="115">
        <v>0</v>
      </c>
      <c r="P13" s="115">
        <v>15262</v>
      </c>
      <c r="Q13" s="116">
        <v>10094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9857</v>
      </c>
      <c r="AT13" s="119">
        <v>-105510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82305988</v>
      </c>
      <c r="F15" s="116"/>
      <c r="G15" s="116"/>
      <c r="H15" s="116"/>
      <c r="I15" s="115">
        <v>82305988</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32778811</v>
      </c>
      <c r="F16" s="116"/>
      <c r="G16" s="116"/>
      <c r="H16" s="116"/>
      <c r="I16" s="115">
        <v>32778811</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7672885.6239999998</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79406760</v>
      </c>
      <c r="F20" s="116"/>
      <c r="G20" s="116"/>
      <c r="H20" s="116"/>
      <c r="I20" s="115">
        <v>79406760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199831756</v>
      </c>
      <c r="E23" s="294"/>
      <c r="F23" s="294"/>
      <c r="G23" s="294"/>
      <c r="H23" s="294"/>
      <c r="I23" s="298"/>
      <c r="J23" s="115">
        <v>26214281</v>
      </c>
      <c r="K23" s="294"/>
      <c r="L23" s="294"/>
      <c r="M23" s="294"/>
      <c r="N23" s="294"/>
      <c r="O23" s="298"/>
      <c r="P23" s="115">
        <v>173644974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79344231</v>
      </c>
      <c r="AT23" s="119">
        <v>300262645</v>
      </c>
      <c r="AU23" s="119">
        <v>0</v>
      </c>
      <c r="AV23" s="317"/>
      <c r="AW23" s="324"/>
    </row>
    <row r="24" spans="2:49" ht="28.5" customHeight="1" x14ac:dyDescent="0.2">
      <c r="B24" s="184" t="s">
        <v>114</v>
      </c>
      <c r="C24" s="139"/>
      <c r="D24" s="299"/>
      <c r="E24" s="116">
        <v>307897540</v>
      </c>
      <c r="F24" s="116"/>
      <c r="G24" s="116"/>
      <c r="H24" s="116"/>
      <c r="I24" s="115">
        <v>307485895</v>
      </c>
      <c r="J24" s="299"/>
      <c r="K24" s="116">
        <v>25818138</v>
      </c>
      <c r="L24" s="116"/>
      <c r="M24" s="116"/>
      <c r="N24" s="116"/>
      <c r="O24" s="115">
        <v>0</v>
      </c>
      <c r="P24" s="299"/>
      <c r="Q24" s="116">
        <v>171759639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37165110</v>
      </c>
      <c r="E26" s="294"/>
      <c r="F26" s="294"/>
      <c r="G26" s="294"/>
      <c r="H26" s="294"/>
      <c r="I26" s="298"/>
      <c r="J26" s="115">
        <v>2876655</v>
      </c>
      <c r="K26" s="294"/>
      <c r="L26" s="294"/>
      <c r="M26" s="294"/>
      <c r="N26" s="294"/>
      <c r="O26" s="298"/>
      <c r="P26" s="115">
        <v>25580102</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4098168</v>
      </c>
      <c r="AT26" s="119">
        <v>35803339</v>
      </c>
      <c r="AU26" s="119">
        <v>0</v>
      </c>
      <c r="AV26" s="317"/>
      <c r="AW26" s="324"/>
    </row>
    <row r="27" spans="2:49" s="11" customFormat="1" ht="25.5" x14ac:dyDescent="0.2">
      <c r="B27" s="184" t="s">
        <v>85</v>
      </c>
      <c r="C27" s="139"/>
      <c r="D27" s="299"/>
      <c r="E27" s="116">
        <v>3782142</v>
      </c>
      <c r="F27" s="116"/>
      <c r="G27" s="116"/>
      <c r="H27" s="116"/>
      <c r="I27" s="115">
        <v>3780894</v>
      </c>
      <c r="J27" s="299"/>
      <c r="K27" s="116">
        <v>380265</v>
      </c>
      <c r="L27" s="116"/>
      <c r="M27" s="116"/>
      <c r="N27" s="116"/>
      <c r="O27" s="115">
        <v>0</v>
      </c>
      <c r="P27" s="299"/>
      <c r="Q27" s="116">
        <v>6529666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93690</v>
      </c>
      <c r="E28" s="295"/>
      <c r="F28" s="295"/>
      <c r="G28" s="295"/>
      <c r="H28" s="295"/>
      <c r="I28" s="299"/>
      <c r="J28" s="115">
        <v>4102062</v>
      </c>
      <c r="K28" s="295"/>
      <c r="L28" s="295"/>
      <c r="M28" s="295"/>
      <c r="N28" s="295"/>
      <c r="O28" s="299"/>
      <c r="P28" s="115">
        <v>24139779</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27456090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396638</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73177</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117912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325978</v>
      </c>
      <c r="E34" s="294"/>
      <c r="F34" s="294"/>
      <c r="G34" s="294"/>
      <c r="H34" s="294"/>
      <c r="I34" s="298"/>
      <c r="J34" s="115">
        <v>24876</v>
      </c>
      <c r="K34" s="294"/>
      <c r="L34" s="294"/>
      <c r="M34" s="294"/>
      <c r="N34" s="294"/>
      <c r="O34" s="298"/>
      <c r="P34" s="115">
        <v>204157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325978</v>
      </c>
      <c r="F35" s="116"/>
      <c r="G35" s="116"/>
      <c r="H35" s="116"/>
      <c r="I35" s="115">
        <v>325870</v>
      </c>
      <c r="J35" s="299"/>
      <c r="K35" s="116">
        <f>J34</f>
        <v>24876</v>
      </c>
      <c r="L35" s="116"/>
      <c r="M35" s="116"/>
      <c r="N35" s="116"/>
      <c r="O35" s="115">
        <v>0</v>
      </c>
      <c r="P35" s="299"/>
      <c r="Q35" s="116">
        <f>P34</f>
        <v>204157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568</v>
      </c>
      <c r="E36" s="116">
        <f>D36</f>
        <v>568</v>
      </c>
      <c r="F36" s="116"/>
      <c r="G36" s="116"/>
      <c r="H36" s="116"/>
      <c r="I36" s="115">
        <v>0</v>
      </c>
      <c r="J36" s="115">
        <v>35342</v>
      </c>
      <c r="K36" s="116">
        <f>J36</f>
        <v>35342</v>
      </c>
      <c r="L36" s="116"/>
      <c r="M36" s="116"/>
      <c r="N36" s="116"/>
      <c r="O36" s="115">
        <v>0</v>
      </c>
      <c r="P36" s="115">
        <v>190849</v>
      </c>
      <c r="Q36" s="116">
        <f>P36</f>
        <v>190849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96040</v>
      </c>
      <c r="E38" s="294"/>
      <c r="F38" s="294"/>
      <c r="G38" s="294"/>
      <c r="H38" s="294"/>
      <c r="I38" s="298"/>
      <c r="J38" s="115">
        <v>0</v>
      </c>
      <c r="K38" s="294"/>
      <c r="L38" s="294"/>
      <c r="M38" s="294"/>
      <c r="N38" s="294"/>
      <c r="O38" s="298"/>
      <c r="P38" s="115">
        <v>467742</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205926</v>
      </c>
      <c r="AU38" s="119">
        <v>0</v>
      </c>
      <c r="AV38" s="317"/>
      <c r="AW38" s="324"/>
    </row>
    <row r="39" spans="2:49" ht="28.15" customHeight="1" x14ac:dyDescent="0.2">
      <c r="B39" s="184" t="s">
        <v>86</v>
      </c>
      <c r="C39" s="139"/>
      <c r="D39" s="299"/>
      <c r="E39" s="116">
        <v>96040</v>
      </c>
      <c r="F39" s="116"/>
      <c r="G39" s="116"/>
      <c r="H39" s="116"/>
      <c r="I39" s="115">
        <v>0</v>
      </c>
      <c r="J39" s="299"/>
      <c r="K39" s="116">
        <v>0</v>
      </c>
      <c r="L39" s="116"/>
      <c r="M39" s="116"/>
      <c r="N39" s="116"/>
      <c r="O39" s="115">
        <v>0</v>
      </c>
      <c r="P39" s="299"/>
      <c r="Q39" s="116">
        <v>467742</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-52090104</v>
      </c>
      <c r="E41" s="294"/>
      <c r="F41" s="294"/>
      <c r="G41" s="294"/>
      <c r="H41" s="294"/>
      <c r="I41" s="298"/>
      <c r="J41" s="115">
        <v>0</v>
      </c>
      <c r="K41" s="294"/>
      <c r="L41" s="294"/>
      <c r="M41" s="294"/>
      <c r="N41" s="294"/>
      <c r="O41" s="298"/>
      <c r="P41" s="115">
        <v>3266743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925520</v>
      </c>
      <c r="AU41" s="119">
        <v>0</v>
      </c>
      <c r="AV41" s="317"/>
      <c r="AW41" s="324"/>
    </row>
    <row r="42" spans="2:49" s="11" customFormat="1" ht="25.5" x14ac:dyDescent="0.2">
      <c r="B42" s="184" t="s">
        <v>92</v>
      </c>
      <c r="C42" s="139"/>
      <c r="D42" s="299"/>
      <c r="E42" s="116">
        <v>-158339</v>
      </c>
      <c r="F42" s="116"/>
      <c r="G42" s="116"/>
      <c r="H42" s="116"/>
      <c r="I42" s="115">
        <v>0</v>
      </c>
      <c r="J42" s="299"/>
      <c r="K42" s="116">
        <v>0</v>
      </c>
      <c r="L42" s="116"/>
      <c r="M42" s="116"/>
      <c r="N42" s="116"/>
      <c r="O42" s="115">
        <v>0</v>
      </c>
      <c r="P42" s="299"/>
      <c r="Q42" s="116">
        <v>-852776</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158339</v>
      </c>
      <c r="E43" s="295"/>
      <c r="F43" s="295"/>
      <c r="G43" s="295"/>
      <c r="H43" s="295"/>
      <c r="I43" s="299"/>
      <c r="J43" s="115">
        <v>0</v>
      </c>
      <c r="K43" s="295"/>
      <c r="L43" s="295"/>
      <c r="M43" s="295"/>
      <c r="N43" s="295"/>
      <c r="O43" s="299"/>
      <c r="P43" s="115">
        <v>4119519</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1611906</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115211</v>
      </c>
      <c r="E45" s="116">
        <v>237850</v>
      </c>
      <c r="F45" s="116"/>
      <c r="G45" s="116"/>
      <c r="H45" s="116"/>
      <c r="I45" s="115">
        <v>212726</v>
      </c>
      <c r="J45" s="115">
        <v>30652</v>
      </c>
      <c r="K45" s="116">
        <v>26944</v>
      </c>
      <c r="L45" s="116"/>
      <c r="M45" s="116"/>
      <c r="N45" s="116"/>
      <c r="O45" s="115">
        <v>0</v>
      </c>
      <c r="P45" s="115">
        <v>198515</v>
      </c>
      <c r="Q45" s="116">
        <v>191750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1169665</v>
      </c>
      <c r="E49" s="116">
        <v>786332</v>
      </c>
      <c r="F49" s="116"/>
      <c r="G49" s="116"/>
      <c r="H49" s="116"/>
      <c r="I49" s="115">
        <v>771994</v>
      </c>
      <c r="J49" s="115">
        <v>283904</v>
      </c>
      <c r="K49" s="116">
        <v>56569</v>
      </c>
      <c r="L49" s="116"/>
      <c r="M49" s="116"/>
      <c r="N49" s="116"/>
      <c r="O49" s="115">
        <v>0</v>
      </c>
      <c r="P49" s="115">
        <v>1940511</v>
      </c>
      <c r="Q49" s="116">
        <v>284546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14429411</v>
      </c>
      <c r="AT49" s="119">
        <v>0</v>
      </c>
      <c r="AU49" s="119">
        <v>0</v>
      </c>
      <c r="AV49" s="317"/>
      <c r="AW49" s="324"/>
    </row>
    <row r="50" spans="2:49" x14ac:dyDescent="0.2">
      <c r="B50" s="182" t="s">
        <v>119</v>
      </c>
      <c r="C50" s="139" t="s">
        <v>34</v>
      </c>
      <c r="D50" s="115">
        <v>2769</v>
      </c>
      <c r="E50" s="295"/>
      <c r="F50" s="295"/>
      <c r="G50" s="295"/>
      <c r="H50" s="295"/>
      <c r="I50" s="299"/>
      <c r="J50" s="115">
        <v>283660</v>
      </c>
      <c r="K50" s="295"/>
      <c r="L50" s="295"/>
      <c r="M50" s="295"/>
      <c r="N50" s="295"/>
      <c r="O50" s="299"/>
      <c r="P50" s="115">
        <v>1504930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184421136</v>
      </c>
      <c r="E54" s="121">
        <f>E24+E27+E31+E35-E36+E39+E42+E45+E46-E49+E51+E52+E53</f>
        <v>311394311</v>
      </c>
      <c r="F54" s="121"/>
      <c r="G54" s="121"/>
      <c r="H54" s="121"/>
      <c r="I54" s="120">
        <f>I24+I27+I31+I35-I36+I39+I42+I45+I46-I49+I51+I52+I53</f>
        <v>311033391</v>
      </c>
      <c r="J54" s="120">
        <f>J23+J26-J28+J30-J32+J34-J36+J38+J41-J43+J45+J46-J47-J49+J50+J51+J52+J53</f>
        <v>25008816</v>
      </c>
      <c r="K54" s="121">
        <f>K24+K27+K31+K35-K36+K39+K42+K45+K46-K49+K51+K52+K53</f>
        <v>26158312</v>
      </c>
      <c r="L54" s="121"/>
      <c r="M54" s="121"/>
      <c r="N54" s="121"/>
      <c r="O54" s="120">
        <f>O24+O27+O31+O35-O36+O39+O42+O45+O46-O49+O51+O52+O53</f>
        <v>0</v>
      </c>
      <c r="P54" s="120">
        <f>P23+P26-P28+P30-P32+P34-P36+P38+P41-P43+P45+P46-P47-P49+P50+P51+P52+P53</f>
        <v>174476505</v>
      </c>
      <c r="Q54" s="121">
        <f>Q24+Q27+Q31+Q35-Q36+Q39+Q42+Q45+Q46-Q49+Q51+Q52+Q53</f>
        <v>177824783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69012988</v>
      </c>
      <c r="AT54" s="122">
        <f>AT23+AT26-AT28+AT30-AT32+AT34-AT36+AT38+AT41-AT43+AT45+AT46-AT47-AT49+AT50+AT51+AT52+AT53</f>
        <v>308084699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17565888</v>
      </c>
      <c r="F58" s="193"/>
      <c r="G58" s="193"/>
      <c r="H58" s="193"/>
      <c r="I58" s="192">
        <v>17565888</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205090.46</v>
      </c>
      <c r="D5" s="124">
        <v>718168</v>
      </c>
      <c r="E5" s="352"/>
      <c r="F5" s="352"/>
      <c r="G5" s="318"/>
      <c r="H5" s="123">
        <v>9516539.3300000001</v>
      </c>
      <c r="I5" s="124">
        <v>33006156</v>
      </c>
      <c r="J5" s="352"/>
      <c r="K5" s="352"/>
      <c r="L5" s="318"/>
      <c r="M5" s="123">
        <v>21381897.760000002</v>
      </c>
      <c r="N5" s="124">
        <v>192666821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125224</v>
      </c>
      <c r="D6" s="116">
        <v>653713</v>
      </c>
      <c r="E6" s="121">
        <f>SUM('Pt 1 Summary of Data'!E$12,'Pt 1 Summary of Data'!E$22)+SUM('Pt 1 Summary of Data'!G$12,'Pt 1 Summary of Data'!G$22)-SUM('Pt 1 Summary of Data'!H$12,'Pt 1 Summary of Data'!H$22)</f>
        <v>311394311</v>
      </c>
      <c r="F6" s="121">
        <f>SUM(C6:E6)</f>
        <v>312173248</v>
      </c>
      <c r="G6" s="122">
        <f>'Pt 1 Summary of Data'!I12+'Pt 1 Summary of Data'!I22</f>
        <v>311033391</v>
      </c>
      <c r="H6" s="115">
        <v>9644590</v>
      </c>
      <c r="I6" s="116">
        <v>32022166</v>
      </c>
      <c r="J6" s="121">
        <f>'Pt 1 Summary of Data'!K12+'Pt 1 Summary of Data'!K22</f>
        <v>26158312</v>
      </c>
      <c r="K6" s="121">
        <f>SUM(H6:J6)</f>
        <v>67825068</v>
      </c>
      <c r="L6" s="122">
        <f>'Pt 1 Summary of Data'!O12+'Pt 1 Summary of Data'!O22</f>
        <v>0</v>
      </c>
      <c r="M6" s="115">
        <v>22043245</v>
      </c>
      <c r="N6" s="116">
        <v>191205044</v>
      </c>
      <c r="O6" s="121">
        <f>'Pt 1 Summary of Data'!Q12+'Pt 1 Summary of Data'!Q22</f>
        <v>177824783</v>
      </c>
      <c r="P6" s="121">
        <f>SUM(M6:O6)</f>
        <v>391073072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470</v>
      </c>
      <c r="D7" s="116">
        <v>1436</v>
      </c>
      <c r="E7" s="121">
        <f>SUM('Pt 1 Summary of Data'!E37:E41)+MAX(0,MIN('Pt 1 Summary of Data'!E42,0.3%*('Pt 1 Summary of Data'!E5-SUM(E9:E11))))</f>
        <v>1417833</v>
      </c>
      <c r="F7" s="121">
        <f>SUM(C7:E7)</f>
        <v>1419739</v>
      </c>
      <c r="G7" s="122">
        <f>SUM('Pt 1 Summary of Data'!I37:I41)+MAX(0,MIN('Pt 1 Summary of Data'!I42,0.3%*('Pt 1 Summary of Data'!I5-SUM(G9:G10))))</f>
        <v>1417365</v>
      </c>
      <c r="H7" s="115">
        <v>76206</v>
      </c>
      <c r="I7" s="116">
        <v>221028</v>
      </c>
      <c r="J7" s="121">
        <f>SUM('Pt 1 Summary of Data'!K37:K41)+MAX(0,MIN('Pt 1 Summary of Data'!K42,0.3%*('Pt 1 Summary of Data'!K5-SUM(J10:J11))))</f>
        <v>192013</v>
      </c>
      <c r="K7" s="121">
        <f>SUM(H7:J7)</f>
        <v>489247</v>
      </c>
      <c r="L7" s="122">
        <f>SUM('Pt 1 Summary of Data'!O37:O41)+MAX(0,MIN('Pt 1 Summary of Data'!O42,0.3%*('Pt 1 Summary of Data'!O5-L10)))</f>
        <v>0</v>
      </c>
      <c r="M7" s="115">
        <v>193213</v>
      </c>
      <c r="N7" s="116">
        <v>1156608</v>
      </c>
      <c r="O7" s="121">
        <f>SUM('Pt 1 Summary of Data'!Q37:Q41)+MAX(0,MIN('Pt 1 Summary of Data'!Q42,0.3%*('Pt 1 Summary of Data'!Q5)))</f>
        <v>1277583</v>
      </c>
      <c r="P7" s="121">
        <f>SUM(M7:O7)</f>
        <v>2627404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17565888</v>
      </c>
      <c r="F8" s="275">
        <f>E8</f>
        <v>17565888</v>
      </c>
      <c r="G8" s="276">
        <f>'Pt 2 Premium and Claims'!I58</f>
        <v>17565888</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82305988</v>
      </c>
      <c r="F9" s="121">
        <f>E9</f>
        <v>82305988</v>
      </c>
      <c r="G9" s="122">
        <f>'Pt 2 Premium and Claims'!I15</f>
        <v>82305988</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32778811</v>
      </c>
      <c r="F10" s="121">
        <f>E10</f>
        <v>32778811</v>
      </c>
      <c r="G10" s="122">
        <f>'Pt 2 Premium and Claims'!I16</f>
        <v>32778811</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7672885.6239999998</v>
      </c>
      <c r="F11" s="121">
        <f>E11</f>
        <v>7672885.6239999998</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125694</v>
      </c>
      <c r="D12" s="121">
        <f>SUM(D$6:D$7)+IF(AND(OR('Company Information'!$C$12="District of Columbia",'Company Information'!$C$12="Massachusetts",'Company Information'!$C$12="Vermont"),SUM($C$6:$F$11,$C$15:$F$16,$C$37:$D$37)&lt;&gt;0),SUM(I$6:I$7),0)</f>
        <v>655149</v>
      </c>
      <c r="E12" s="121">
        <f>SUM(E$6:E$7)-SUM(E$8:E$11)+IF(AND(OR('Company Information'!$C$12="District of Columbia",'Company Information'!$C$12="Massachusetts",'Company Information'!$C$12="Vermont"),SUM($C$6:$F$11,$C$15:$F$16,$C$37:$D$37)&lt;&gt;0),SUM(J$6:J$7)-SUM(J$10:J$11),0)</f>
        <v>172488571.37599999</v>
      </c>
      <c r="F12" s="121">
        <f>IFERROR(SUM(C$12:E$12)+C$17*MAX(0,E$49-C$49)+D$17*MAX(0,E$49-D$49),0)</f>
        <v>173269414.37599999</v>
      </c>
      <c r="G12" s="317"/>
      <c r="H12" s="120">
        <f>SUM(H$6:H$7)+IF(AND(OR('Company Information'!$C$12="District of Columbia",'Company Information'!$C$12="Massachusetts",'Company Information'!$C$12="Vermont"),SUM($H$6:$K$11,$H$15:$K$16,$H$37:$I$37)&lt;&gt;0),SUM(C$6:C$7),0)</f>
        <v>9720796</v>
      </c>
      <c r="I12" s="121">
        <f>SUM(I$6:I$7)+IF(AND(OR('Company Information'!$C$12="District of Columbia",'Company Information'!$C$12="Massachusetts",'Company Information'!$C$12="Vermont"),SUM($H$6:$K$11,$H$15:$K$16,$H$37:$I$37)&lt;&gt;0),SUM(D$6:D$7),0)</f>
        <v>32243194</v>
      </c>
      <c r="J12" s="121">
        <f>SUM(J$6:J$7)-SUM(J$10:J$11)+IF(AND(OR('Company Information'!$C$12="District of Columbia",'Company Information'!$C$12="Massachusetts",'Company Information'!$C$12="Vermont"),SUM($H$6:$K$11,$H$15:$K$16,$H$37:$I$37)&lt;&gt;0),SUM(E$6:E$7)-SUM(E$8:E$11),0)</f>
        <v>26350325</v>
      </c>
      <c r="K12" s="121">
        <f>IFERROR(SUM(H$12:J$12)+H$17*MAX(0,J$49-H$49)+I$17*MAX(0,J$49-I$49),0)</f>
        <v>68314315</v>
      </c>
      <c r="L12" s="317"/>
      <c r="M12" s="120">
        <f>SUM(M$6:M$7)</f>
        <v>22236458</v>
      </c>
      <c r="N12" s="121">
        <f>SUM(N$6:N$7)</f>
        <v>192361652</v>
      </c>
      <c r="O12" s="121">
        <f>SUM(O$6:O$7)</f>
        <v>179102366</v>
      </c>
      <c r="P12" s="121">
        <f>SUM(M$12:O$12)+M$17*MAX(0,O$49-M$49)+N$17*MAX(0,O$49-N$49)</f>
        <v>393700476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73597</v>
      </c>
      <c r="D15" s="124">
        <v>576261</v>
      </c>
      <c r="E15" s="112">
        <f>SUM('Pt 1 Summary of Data'!E$5:E$7)+SUM('Pt 1 Summary of Data'!G$5:G$7)-SUM('Pt 1 Summary of Data'!H$5:H$7)-SUM(E$9:E$11)+D$55</f>
        <v>176874004</v>
      </c>
      <c r="F15" s="112">
        <f>SUM(C15:E15)</f>
        <v>177523862</v>
      </c>
      <c r="G15" s="113">
        <f>SUM('Pt 1 Summary of Data'!I$5:I$7)-SUM(G$9:G$10)</f>
        <v>176676391</v>
      </c>
      <c r="H15" s="123">
        <v>10786943</v>
      </c>
      <c r="I15" s="124">
        <v>42690288</v>
      </c>
      <c r="J15" s="112">
        <f>SUM('Pt 1 Summary of Data'!K$5:K$7)+SUM('Pt 1 Summary of Data'!M$5:M$7)-SUM('Pt 1 Summary of Data'!N$5:N$7)-SUM(J$10:J$11)+I$55</f>
        <v>34058370</v>
      </c>
      <c r="K15" s="112">
        <f>SUM(H15:J15)</f>
        <v>87535601</v>
      </c>
      <c r="L15" s="113">
        <f>SUM('Pt 1 Summary of Data'!O5:O7)-L10</f>
        <v>0</v>
      </c>
      <c r="M15" s="123">
        <v>24510795</v>
      </c>
      <c r="N15" s="124">
        <v>218257239</v>
      </c>
      <c r="O15" s="112">
        <f>SUM('Pt 1 Summary of Data'!Q5:Q7)+N55</f>
        <v>211913348</v>
      </c>
      <c r="P15" s="112">
        <f>SUM(M15:O15)</f>
        <v>454681382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-53028</v>
      </c>
      <c r="D16" s="116">
        <v>-40148</v>
      </c>
      <c r="E16" s="121">
        <f>'Pt 1 Summary of Data'!E25+'Pt 1 Summary of Data'!E26+'Pt 1 Summary of Data'!E27+'Pt 1 Summary of Data'!E28+'Pt 1 Summary of Data'!E30+'Pt 1 Summary of Data'!E31+'Pt 1 Summary of Data'!E34+'Pt 1 Summary of Data'!E35+'Pt 3 MLR and Rebate Calculation'!D56</f>
        <v>-7965873</v>
      </c>
      <c r="F16" s="121">
        <f>SUM(C16:E16)</f>
        <v>-8059049</v>
      </c>
      <c r="G16" s="122">
        <f>'Pt 1 Summary of Data'!I25+'Pt 1 Summary of Data'!I26+'Pt 1 Summary of Data'!I27+'Pt 1 Summary of Data'!I28+'Pt 1 Summary of Data'!I30+'Pt 1 Summary of Data'!I31+'Pt 1 Summary of Data'!I34+'Pt 1 Summary of Data'!I35</f>
        <v>-26194839</v>
      </c>
      <c r="H16" s="115">
        <v>308102</v>
      </c>
      <c r="I16" s="116">
        <v>1881924</v>
      </c>
      <c r="J16" s="121">
        <f>'Pt 1 Summary of Data'!K25+'Pt 1 Summary of Data'!K26+'Pt 1 Summary of Data'!K27+'Pt 1 Summary of Data'!K28+'Pt 1 Summary of Data'!K30+'Pt 1 Summary of Data'!K31+'Pt 1 Summary of Data'!K34+'Pt 1 Summary of Data'!K35+'Pt 3 MLR and Rebate Calculation'!I56</f>
        <v>3432291</v>
      </c>
      <c r="K16" s="121">
        <f>SUM(H16:J16)</f>
        <v>5622317</v>
      </c>
      <c r="L16" s="122">
        <f>'Pt 1 Summary of Data'!O25+'Pt 1 Summary of Data'!O26+'Pt 1 Summary of Data'!O27+'Pt 1 Summary of Data'!O28+'Pt 1 Summary of Data'!O30+'Pt 1 Summary of Data'!O31+'Pt 1 Summary of Data'!O34+'Pt 1 Summary of Data'!O35</f>
        <v>0</v>
      </c>
      <c r="M16" s="115">
        <v>903542</v>
      </c>
      <c r="N16" s="116">
        <v>2899883</v>
      </c>
      <c r="O16" s="121">
        <f>'Pt 1 Summary of Data'!Q25+'Pt 1 Summary of Data'!Q26+'Pt 1 Summary of Data'!Q27+'Pt 1 Summary of Data'!Q28+'Pt 1 Summary of Data'!Q30+'Pt 1 Summary of Data'!Q31+'Pt 1 Summary of Data'!Q34+'Pt 1 Summary of Data'!Q35+'Pt 3 MLR and Rebate Calculation'!N56</f>
        <v>16411603</v>
      </c>
      <c r="P16" s="121">
        <f>SUM(M16:O16)</f>
        <v>20215028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126625</v>
      </c>
      <c r="D17" s="121">
        <f>D$15-D$16+IF(AND(OR('Company Information'!$C$12="District of Columbia",'Company Information'!$C$12="Massachusetts",'Company Information'!$C$12="Vermont"),SUM($C$6:$F$11,$C$15:$F$16,$C$37:$D$37)&lt;&gt;0),I$15-I$16,0)</f>
        <v>616409</v>
      </c>
      <c r="E17" s="121">
        <f>E$15-E$16+IF(AND(OR('Company Information'!$C$12="District of Columbia",'Company Information'!$C$12="Massachusetts",'Company Information'!$C$12="Vermont"),SUM($C$6:$F$11,$C$15:$F$16,$C$37:$D$37)&lt;&gt;0),J$15-J$16,0)</f>
        <v>184839877</v>
      </c>
      <c r="F17" s="121">
        <f>F$15-F$16+IF(AND(OR('Company Information'!$C$12="District of Columbia",'Company Information'!$C$12="Massachusetts",'Company Information'!$C$12="Vermont"),SUM($C$6:$F$11,$C$15:$F$16,$C$37:$D$37)&lt;&gt;0),K$15-K$16,0)</f>
        <v>185582911</v>
      </c>
      <c r="G17" s="320"/>
      <c r="H17" s="120">
        <f>H$15-H$16+IF(AND(OR('Company Information'!$C$12="District of Columbia",'Company Information'!$C$12="Massachusetts",'Company Information'!$C$12="Vermont"),SUM($H$6:$K$11,$H$15:$K$16,$H$37:$I$37)&lt;&gt;0),C$15-C$16,0)</f>
        <v>10478841</v>
      </c>
      <c r="I17" s="121">
        <f>I$15-I$16+IF(AND(OR('Company Information'!$C$12="District of Columbia",'Company Information'!$C$12="Massachusetts",'Company Information'!$C$12="Vermont"),SUM($H$6:$K$11,$H$15:$K$16,$H$37:$I$37)&lt;&gt;0),D$15-D$16,0)</f>
        <v>40808364</v>
      </c>
      <c r="J17" s="121">
        <f>J$15-J$16+IF(AND(OR('Company Information'!$C$12="District of Columbia",'Company Information'!$C$12="Massachusetts",'Company Information'!$C$12="Vermont"),SUM($H$6:$K$11,$H$15:$K$16,$H$37:$I$37)&lt;&gt;0),E$15-E$16,0)</f>
        <v>30626079</v>
      </c>
      <c r="K17" s="121">
        <f>K$15-K$16+IF(AND(OR('Company Information'!$C$12="District of Columbia",'Company Information'!$C$12="Massachusetts",'Company Information'!$C$12="Vermont"),SUM($H$6:$K$11,$H$15:$K$16,$H$37:$I$37)&lt;&gt;0),F$15-F$16,0)</f>
        <v>81913284</v>
      </c>
      <c r="L17" s="320"/>
      <c r="M17" s="120">
        <f>M$15-M$16</f>
        <v>23607253</v>
      </c>
      <c r="N17" s="121">
        <f>N$15-N$16</f>
        <v>215357356</v>
      </c>
      <c r="O17" s="121">
        <f>O$15-O$16</f>
        <v>195501745</v>
      </c>
      <c r="P17" s="121">
        <f>P$15-P$16</f>
        <v>434466354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179800069</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50688079</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0.88627682200181856</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3.0599999999999999E-2</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12293996.538000001</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-27616918</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12293996.538000001</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20587266.637999997</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36787236.538000003</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20587266.637999997</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14379407</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156089124.36199999</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14379407</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162296984</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1.1078460275022732</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7672885.6239999998</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7672885.6239999998</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24</v>
      </c>
      <c r="D37" s="128">
        <v>70</v>
      </c>
      <c r="E37" s="262">
        <f>'Pt 1 Summary of Data'!E60</f>
        <v>41783.416666666664</v>
      </c>
      <c r="F37" s="262">
        <f>SUM(C37:E37)</f>
        <v>41877.416666666664</v>
      </c>
      <c r="G37" s="318"/>
      <c r="H37" s="127">
        <v>2157</v>
      </c>
      <c r="I37" s="128">
        <v>8361</v>
      </c>
      <c r="J37" s="262">
        <f>'Pt 1 Summary of Data'!K60</f>
        <v>6519.166666666667</v>
      </c>
      <c r="K37" s="262">
        <f>SUM(H37:J37)</f>
        <v>17037.166666666668</v>
      </c>
      <c r="L37" s="318"/>
      <c r="M37" s="127">
        <v>5051</v>
      </c>
      <c r="N37" s="128">
        <v>44889</v>
      </c>
      <c r="O37" s="262">
        <f>'Pt 1 Summary of Data'!Q60</f>
        <v>43272.333333333336</v>
      </c>
      <c r="P37" s="262">
        <f>SUM(M37:O37)</f>
        <v>93212.333333333343</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1.3299613333333335E-2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2.1308555555555553E-2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1.3299613333333335E-2</v>
      </c>
      <c r="G41" s="317"/>
      <c r="H41" s="298"/>
      <c r="I41" s="294"/>
      <c r="J41" s="294"/>
      <c r="K41" s="266">
        <f ca="1">IF(OR(K$37&lt;1000,K$37&gt;=75000),0,K$38*K$40)</f>
        <v>2.1308555555555553E-2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0.93317834969128433</v>
      </c>
      <c r="F44" s="266">
        <f>IF(OR(F$37&lt;1000,F$17&lt;=0),"",F$12/F$17)</f>
        <v>0.93364962022823317</v>
      </c>
      <c r="G44" s="317"/>
      <c r="H44" s="268">
        <f>IF(OR(H$37&lt;1000,H$17&lt;=0),"",H$12/H$17)</f>
        <v>0.92765946157595103</v>
      </c>
      <c r="I44" s="266">
        <f>IF(OR(I$37&lt;1000,I$17&lt;=0),"",I$12/I$17)</f>
        <v>0.79011238970520847</v>
      </c>
      <c r="J44" s="266">
        <f>IF(OR(J$37&lt;1000,J$17&lt;=0),"",J$12/J$17)</f>
        <v>0.86038846174203365</v>
      </c>
      <c r="K44" s="266">
        <f>IF(OR(K$37&lt;1000,K$17&lt;=0),"",K$12/K$17)</f>
        <v>0.83398335000218038</v>
      </c>
      <c r="L44" s="317"/>
      <c r="M44" s="268">
        <f>IF(OR(M$37&lt;1000,M$17&lt;=0),"",M$12/M$17)</f>
        <v>0.94193331176651518</v>
      </c>
      <c r="N44" s="266">
        <f>IF(OR(N$37&lt;1000,N$17&lt;=0),"",N$12/N$17)</f>
        <v>0.89322071729000985</v>
      </c>
      <c r="O44" s="266">
        <f>IF(OR(O$37&lt;1000,O$17&lt;=0),"",O$12/O$17)</f>
        <v>0.91611645717024159</v>
      </c>
      <c r="P44" s="266">
        <f>IF(OR(P$37&lt;1000,P$17&lt;=0),"",P$12/P$17)</f>
        <v>0.90617023015779952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1.3299613333333335E-2</v>
      </c>
      <c r="G46" s="317"/>
      <c r="H46" s="298"/>
      <c r="I46" s="294"/>
      <c r="J46" s="294"/>
      <c r="K46" s="266">
        <f ca="1">IF(K37&lt;1000,0,K41)</f>
        <v>2.1308555555555553E-2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0.94699999999999995</v>
      </c>
      <c r="G47" s="317"/>
      <c r="H47" s="298"/>
      <c r="I47" s="294"/>
      <c r="J47" s="294"/>
      <c r="K47" s="266">
        <f ca="1">IF(K$44="","",ROUND(K$44+MAX(0,K$46),3))</f>
        <v>0.85499999999999998</v>
      </c>
      <c r="L47" s="317"/>
      <c r="M47" s="298"/>
      <c r="N47" s="294"/>
      <c r="O47" s="294"/>
      <c r="P47" s="266">
        <f>IF(P$44="","",ROUND(P$44+MAX(0,P$46),3))</f>
        <v>0.90600000000000003</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0.94699999999999995</v>
      </c>
      <c r="G50" s="317"/>
      <c r="H50" s="299"/>
      <c r="I50" s="295"/>
      <c r="J50" s="295"/>
      <c r="K50" s="266">
        <f ca="1">K47</f>
        <v>0.85499999999999998</v>
      </c>
      <c r="L50" s="317"/>
      <c r="M50" s="299"/>
      <c r="N50" s="295"/>
      <c r="O50" s="295"/>
      <c r="P50" s="266">
        <f>P47</f>
        <v>0.90600000000000003</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184839877</v>
      </c>
      <c r="G51" s="317"/>
      <c r="H51" s="298"/>
      <c r="I51" s="294"/>
      <c r="J51" s="294"/>
      <c r="K51" s="121">
        <f>IF(K37&lt;1000,"",MAX(0,J15-J16))</f>
        <v>30626079</v>
      </c>
      <c r="L51" s="317"/>
      <c r="M51" s="298"/>
      <c r="N51" s="294"/>
      <c r="O51" s="294"/>
      <c r="P51" s="121">
        <f>IF(P37&lt;1000,"",MAX(0,O15-O16))</f>
        <v>195501745</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144747</v>
      </c>
      <c r="J55" s="294"/>
      <c r="K55" s="294"/>
      <c r="L55" s="317"/>
      <c r="M55" s="298"/>
      <c r="N55" s="116">
        <v>757181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52997</v>
      </c>
      <c r="J56" s="294"/>
      <c r="K56" s="294"/>
      <c r="L56" s="317"/>
      <c r="M56" s="298"/>
      <c r="N56" s="116">
        <v>277323</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31089</v>
      </c>
      <c r="D4" s="155">
        <f>'Pt 1 Summary of Data'!J56</f>
        <v>4026</v>
      </c>
      <c r="E4" s="155">
        <f>'Pt 1 Summary of Data'!P56</f>
        <v>23893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