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K37" i="10"/>
  <c r="P6" i="10"/>
  <c r="T37" i="10"/>
  <c r="L20" i="10"/>
  <c r="X37" i="10"/>
  <c r="F37" i="10"/>
  <c r="AB37" i="10"/>
  <c r="S6" i="10"/>
  <c r="AA6" i="10"/>
  <c r="F15" i="10"/>
  <c r="F6" i="10"/>
  <c r="E17" i="10" s="1"/>
  <c r="E44" i="10" s="1"/>
  <c r="P15" i="10"/>
  <c r="P17" i="10" s="1"/>
  <c r="O17" i="10"/>
  <c r="P37" i="10"/>
  <c r="X6" i="10"/>
  <c r="T15" i="10"/>
  <c r="J6" i="10"/>
  <c r="L29" i="10"/>
  <c r="L25" i="10"/>
  <c r="L21" i="10"/>
  <c r="L28" i="10"/>
  <c r="J7" i="10"/>
  <c r="K7" i="10" s="1"/>
  <c r="M44" i="10"/>
  <c r="S7" i="10"/>
  <c r="T7" i="10" s="1"/>
  <c r="Z45" i="10"/>
  <c r="AA15" i="10"/>
  <c r="E7" i="10"/>
  <c r="F7" i="10" s="1"/>
  <c r="L19" i="10"/>
  <c r="L24" i="10" s="1"/>
  <c r="L23" i="10" s="1"/>
  <c r="O7" i="10"/>
  <c r="P7" i="10" s="1"/>
  <c r="W15" i="10"/>
  <c r="G7" i="10"/>
  <c r="G29" i="10" s="1"/>
  <c r="V13" i="10" l="1"/>
  <c r="T17" i="10"/>
  <c r="G20" i="10"/>
  <c r="C17" i="10"/>
  <c r="J12" i="10"/>
  <c r="H17" i="10"/>
  <c r="K6" i="10"/>
  <c r="J17" i="10" s="1"/>
  <c r="J44" i="10" s="1"/>
  <c r="H12" i="10"/>
  <c r="I12" i="10"/>
  <c r="D17" i="10"/>
  <c r="D44" i="10" s="1"/>
  <c r="T6" i="10"/>
  <c r="R17" i="10" s="1"/>
  <c r="R45" i="10" s="1"/>
  <c r="Q17" i="10"/>
  <c r="Q13" i="10"/>
  <c r="R13" i="10"/>
  <c r="T51" i="10"/>
  <c r="T52" i="10" s="1"/>
  <c r="F11" i="16" s="1"/>
  <c r="T46" i="10"/>
  <c r="T38" i="10"/>
  <c r="T45" i="10"/>
  <c r="T47" i="10" s="1"/>
  <c r="T50" i="10" s="1"/>
  <c r="T41" i="10"/>
  <c r="P51" i="10"/>
  <c r="G19" i="10"/>
  <c r="G24" i="10" s="1"/>
  <c r="G23" i="10" s="1"/>
  <c r="E12" i="10"/>
  <c r="G21" i="10"/>
  <c r="X41" i="10"/>
  <c r="X51" i="10"/>
  <c r="X52" i="10" s="1"/>
  <c r="G11" i="16" s="1"/>
  <c r="X46" i="10"/>
  <c r="X38" i="10"/>
  <c r="K51" i="10"/>
  <c r="K52" i="10" s="1"/>
  <c r="D11" i="16" s="1"/>
  <c r="K46" i="10"/>
  <c r="K41" i="10"/>
  <c r="D12" i="10"/>
  <c r="G25" i="10"/>
  <c r="F17" i="10"/>
  <c r="F44" i="10" s="1"/>
  <c r="F47" i="10" s="1"/>
  <c r="F50" i="10" s="1"/>
  <c r="AB41" i="10"/>
  <c r="AB51" i="10"/>
  <c r="AB52" i="10" s="1"/>
  <c r="H11" i="16" s="1"/>
  <c r="AB46" i="10"/>
  <c r="AB38" i="10"/>
  <c r="W17" i="10"/>
  <c r="W45" i="10" s="1"/>
  <c r="X15" i="10"/>
  <c r="V17" i="10" s="1"/>
  <c r="V45" i="10" s="1"/>
  <c r="AA17" i="10"/>
  <c r="AA45" i="10" s="1"/>
  <c r="AB15" i="10"/>
  <c r="AB17" i="10" s="1"/>
  <c r="AB45" i="10" s="1"/>
  <c r="AB47" i="10" s="1"/>
  <c r="AB50" i="10" s="1"/>
  <c r="G28" i="10"/>
  <c r="U13" i="10"/>
  <c r="C12" i="10"/>
  <c r="AA13" i="10"/>
  <c r="AB6" i="10"/>
  <c r="AB13" i="10" s="1"/>
  <c r="F51" i="10"/>
  <c r="F52" i="10" s="1"/>
  <c r="C11" i="16" s="1"/>
  <c r="F46" i="10"/>
  <c r="F41" i="10"/>
  <c r="L27" i="10"/>
  <c r="O12" i="10"/>
  <c r="K17" i="10"/>
  <c r="K44" i="10" s="1"/>
  <c r="K47" i="10" s="1"/>
  <c r="K50" i="10" s="1"/>
  <c r="Q45" i="10" l="1"/>
  <c r="T13" i="10"/>
  <c r="S13" i="10"/>
  <c r="G27" i="10"/>
  <c r="O44" i="10"/>
  <c r="P38" i="10" s="1"/>
  <c r="P41" i="10" s="1"/>
  <c r="P46" i="10" s="1"/>
  <c r="P12" i="10"/>
  <c r="P44" i="10" s="1"/>
  <c r="P47" i="10" s="1"/>
  <c r="P50" i="10" s="1"/>
  <c r="H44" i="10"/>
  <c r="L31" i="10"/>
  <c r="L32" i="10" s="1"/>
  <c r="L33" i="10" s="1"/>
  <c r="L26" i="10"/>
  <c r="L30" i="10" s="1"/>
  <c r="P52" i="10"/>
  <c r="E11" i="16" s="1"/>
  <c r="X17" i="10"/>
  <c r="X45" i="10" s="1"/>
  <c r="X47" i="10" s="1"/>
  <c r="X50" i="10" s="1"/>
  <c r="U17" i="10"/>
  <c r="S17" i="10"/>
  <c r="S45" i="10" s="1"/>
  <c r="I17" i="10"/>
  <c r="I44" i="10" s="1"/>
  <c r="F12" i="10"/>
  <c r="C44" i="10"/>
  <c r="F38" i="10" s="1"/>
  <c r="W13" i="10"/>
  <c r="K38" i="10" l="1"/>
  <c r="U45" i="10"/>
  <c r="X13" i="10"/>
  <c r="K12" i="10"/>
  <c r="G26" i="10"/>
  <c r="G30" i="10" s="1"/>
  <c r="G31" i="10"/>
  <c r="G32" i="10" s="1"/>
  <c r="G33"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<sst xmlns="http://schemas.openxmlformats.org/spreadsheetml/2006/main" count="568" uniqueCount="507">
  <si>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</si>
  <si>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</si>
  <si>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</si>
  <si>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</si>
  <si>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</si>
  <si>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</si>
  <si>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</si>
  <si>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</si>
  <si>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</si>
  <si>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</si>
  <si>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</si>
  <si>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</si>
  <si>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</si>
  <si>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</si>
  <si>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</si>
  <si>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</si>
  <si>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</si>
  <si>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</si>
  <si>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</si>
  <si>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</si>
  <si>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</si>
  <si>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</si>
  <si>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</si>
  <si>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</si>
  <si>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</si>
  <si>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</si>
  <si>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</si>
  <si>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</si>
  <si>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</si>
  <si>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</si>
  <si>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</si>
  <si>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</si>
  <si>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</si>
  <si>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</si>
  <si>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</si>
  <si>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</si>
  <si>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</si>
  <si>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</si>
  <si>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</si>
  <si>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</si>
  <si>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</si>
  <si>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</si>
  <si>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</si>
  <si>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</si>
  <si>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</si>
  <si>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</si>
  <si>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</si>
  <si>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</si>
  <si>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</si>
  <si>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</si>
  <si>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</si>
  <si>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</si>
  <si>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</si>
  <si>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</si>
  <si>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</si>
  <si>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</si>
  <si>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</si>
  <si>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</si>
  <si>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</si>
  <si>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</si>
  <si>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</si>
  <si>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</si>
  <si>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</si>
  <si>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</si>
  <si>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</si>
  <si>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</si>
  <si>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</si>
  <si>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</si>
  <si>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</si>
  <si>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</si>
  <si>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</si>
  <si>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</si>
  <si>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</si>
  <si>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</si>
  <si>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</si>
  <si>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</si>
  <si>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</si>
  <si>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</si>
  <si>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</si>
  <si>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</si>
  <si>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</si>
  <si>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</si>
  <si>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</si>
  <si>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</si>
  <si>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</si>
  <si>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</si>
  <si>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</si>
  <si>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</si>
  <si>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</si>
  <si>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</si>
  <si>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</si>
  <si>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</si>
  <si>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</si>
  <si>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</si>
  <si>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</si>
  <si>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</si>
  <si>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</si>
  <si>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</si>
  <si>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</si>
  <si>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</si>
  <si>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</si>
  <si>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</si>
  <si>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</si>
  <si>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</si>
  <si>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</si>
  <si>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</si>
  <si>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</si>
  <si>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</si>
  <si>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</si>
  <si>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</si>
  <si>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</si>
  <si>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</si>
  <si>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</si>
  <si>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</si>
  <si>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</si>
  <si>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</si>
  <si>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</si>
  <si>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</si>
  <si>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</si>
  <si>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</si>
  <si>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</si>
  <si>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</si>
  <si>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</si>
  <si>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</si>
  <si>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</si>
  <si>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</si>
  <si>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</si>
  <si>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</si>
  <si>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</si>
  <si>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</si>
  <si>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</si>
  <si>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</si>
  <si>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</si>
  <si>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</si>
  <si>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</si>
  <si>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</si>
  <si>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</si>
  <si>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</si>
  <si>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</si>
  <si>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</si>
  <si>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</si>
  <si>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</si>
  <si>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</si>
  <si>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</si>
  <si>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</si>
  <si>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</si>
  <si>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</si>
  <si>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</si>
  <si>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</si>
  <si>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</si>
  <si>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</si>
  <si>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</si>
  <si>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</si>
  <si>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</si>
  <si>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</si>
  <si>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</si>
  <si>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</si>
  <si>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</si>
  <si>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</si>
  <si>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</si>
  <si>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</si>
  <si>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</si>
  <si>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</si>
  <si>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</si>
  <si>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</si>
  <si>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</si>
  <si>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</si>
  <si>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</si>
  <si>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</si>
  <si>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</si>
  <si>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</si>
  <si>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</si>
  <si>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</si>
  <si>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</si>
  <si>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</si>
  <si>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</si>
  <si>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</si>
  <si>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</si>
  <si>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</si>
  <si>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</si>
  <si>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</si>
  <si>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</si>
  <si>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</si>
  <si>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</si>
  <si>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</si>
  <si>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</si>
  <si>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</si>
  <si>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</si>
  <si>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</si>
  <si>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</si>
  <si>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</si>
  <si>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</si>
  <si>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</si>
  <si>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</si>
  <si>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</si>
  <si>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</si>
  <si>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</si>
  <si>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</si>
  <si>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</si>
  <si>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</si>
  <si>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</si>
  <si>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</si>
  <si>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</si>
  <si>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</si>
  <si>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</si>
  <si>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</si>
  <si>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</si>
  <si>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</si>
  <si>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</si>
  <si>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</si>
  <si>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</si>
  <si>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</si>
  <si>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</si>
  <si>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</si>
  <si>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</si>
  <si>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</si>
  <si>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</si>
  <si>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</si>
  <si>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</si>
  <si>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</si>
  <si>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</si>
  <si>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</si>
  <si>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</si>
  <si>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</si>
  <si>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</si>
  <si>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</si>
  <si>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</si>
  <si>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</si>
  <si>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</si>
  <si>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</si>
  <si>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</si>
  <si>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</si>
  <si>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</si>
  <si>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</si>
  <si>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</si>
  <si>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</si>
  <si>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</si>
  <si>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</si>
  <si>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</si>
  <si>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</si>
  <si>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</si>
  <si>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</si>
  <si>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</si>
  <si>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</si>
  <si>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</si>
  <si>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</si>
  <si>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</si>
  <si>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</si>
  <si>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</si>
  <si>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</si>
  <si>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</si>
  <si>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</si>
  <si>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</si>
  <si>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</si>
  <si>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</si>
  <si>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</si>
  <si>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</si>
  <si>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</si>
  <si>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</si>
  <si>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</si>
  <si>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</si>
  <si>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</si>
  <si>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</si>
  <si>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</si>
  <si>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</si>
  <si>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</si>
  <si>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</si>
  <si>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</si>
  <si>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</si>
  <si>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</si>
  <si>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</si>
  <si>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</si>
  <si>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</si>
  <si>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</si>
  <si>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</si>
  <si>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</si>
  <si>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</si>
  <si>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</si>
  <si>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</si>
  <si>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</si>
  <si>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</si>
  <si>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</si>
  <si>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</si>
  <si>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</si>
  <si>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</si>
  <si>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</si>
  <si>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</si>
  <si>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</si>
  <si>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</si>
  <si>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</si>
  <si>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</si>
  <si>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</si>
  <si>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</si>
  <si>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</si>
  <si>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</si>
  <si>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</si>
  <si>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</si>
  <si>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</si>
  <si>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</si>
  <si>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</si>
  <si>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</si>
  <si>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</si>
  <si>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</si>
  <si>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</si>
  <si>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</si>
  <si>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</si>
  <si>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</si>
  <si>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</si>
  <si>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</si>
  <si>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</si>
  <si>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</si>
  <si>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</si>
  <si>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</si>
  <si>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</si>
  <si>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</si>
  <si>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</si>
  <si>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</si>
  <si>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</si>
  <si>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</si>
  <si>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</si>
  <si>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</si>
  <si>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</si>
  <si>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</si>
  <si>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</si>
  <si>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</si>
  <si>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</si>
  <si>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</si>
  <si>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</si>
  <si>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</si>
  <si>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</si>
  <si>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</si>
  <si>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</si>
  <si>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</si>
  <si>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</si>
  <si>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</si>
  <si>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</si>
  <si>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</si>
  <si>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</si>
  <si>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</si>
  <si>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</si>
  <si>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</si>
  <si>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</si>
  <si>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</si>
  <si>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</si>
  <si>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</si>
  <si>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</si>
  <si>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</si>
  <si>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</si>
  <si>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</si>
  <si>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</si>
  <si>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</si>
  <si>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</si>
  <si>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</si>
  <si>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</si>
  <si>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</si>
  <si>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</si>
  <si>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</si>
  <si>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</si>
  <si>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</si>
  <si>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</si>
  <si>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</si>
  <si>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</si>
  <si>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</si>
  <si>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</si>
  <si>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</si>
  <si>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</si>
  <si>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</si>
  <si>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</si>
  <si>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</si>
  <si>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</si>
  <si>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</si>
  <si>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</si>
  <si>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</si>
  <si>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</si>
  <si>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</si>
  <si>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</si>
  <si>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</si>
  <si>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</si>
  <si>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</si>
  <si>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</si>
  <si>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</si>
  <si>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</si>
  <si>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</si>
  <si>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</si>
  <si>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</si>
  <si>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</si>
  <si>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</si>
  <si>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</si>
  <si>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</si>
  <si>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</si>
  <si>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</si>
  <si>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</si>
  <si>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</si>
  <si>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</si>
  <si>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</si>
  <si>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</si>
  <si>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</si>
  <si>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</si>
  <si>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</si>
  <si>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</si>
  <si>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</si>
  <si>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</si>
  <si>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</si>
  <si>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</si>
  <si>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</si>
  <si>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</si>
  <si>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</si>
  <si>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</si>
  <si>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</si>
  <si>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</si>
  <si>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</si>
  <si>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</si>
  <si>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</si>
  <si>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</si>
  <si>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</si>
  <si>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</si>
  <si>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</si>
  <si>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</si>
  <si>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</si>
  <si>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</si>
  <si>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</si>
  <si>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</si>
  <si>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</si>
  <si>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</si>
  <si>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</si>
  <si>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</si>
  <si>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</si>
  <si>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</si>
  <si>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</si>
  <si>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</si>
  <si>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</si>
  <si>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</si>
  <si>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</si>
  <si>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</si>
  <si>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</si>
  <si>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</si>
  <si>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</si>
  <si>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</si>
  <si>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</si>
  <si>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</si>
  <si>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</si>
  <si>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</si>
  <si>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</si>
  <si>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</si>
  <si>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</si>
  <si>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</si>
  <si>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</si>
  <si>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</si>
  <si>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</si>
  <si>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</si>
  <si>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</si>
  <si>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</si>
  <si>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</si>
  <si>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</si>
  <si>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</si>
  <si>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</si>
  <si>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</si>
  <si>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</si>
  <si>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</si>
  <si>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</si>
  <si>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</si>
  <si>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</si>
  <si>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</si>
  <si>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</si>
  <si>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</si>
  <si>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</si>
  <si>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</si>
  <si>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</si>
  <si>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</si>
  <si>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</si>
  <si>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</si>
  <si>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</si>
  <si>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</si>
  <si>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</si>
  <si>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</si>
  <si>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</si>
  <si>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</si>
  <si>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</si>
  <si>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</si>
  <si>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</si>
  <si>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</si>
  <si>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</si>
  <si>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</si>
  <si>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</si>
  <si>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</si>
  <si>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</si>
  <si>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</si>
  <si>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</si>
  <si>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</si>
  <si>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</si>
  <si>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</si>
  <si>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</si>
  <si>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</si>
  <si>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</si>
  <si>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</si>
  <si>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</si>
  <si>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</si>
  <si>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</si>
  <si>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</si>
  <si>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</si>
  <si>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</si>
  <si>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</si>
  <si>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</si>
  <si>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31744</t>
  </si>
  <si>
    <t>United States Virgin Islands</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</si>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</sst>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505</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504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154439</v>
      </c>
      <c r="K5" s="112">
        <f>'Pt 2 Premium and Claims'!K5+'Pt 2 Premium and Claims'!K6-'Pt 2 Premium and Claims'!K7-'Pt 2 Premium and Claims'!K13+'Pt 2 Premium and Claims'!K14+'Pt 2 Premium and Claims'!K15+'Pt 2 Premium and Claims'!K16+'Pt 2 Premium and Claims'!K17</f>
        <v>156564</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159276266</v>
      </c>
      <c r="Q5" s="112">
        <f>'Pt 2 Premium and Claims'!Q5+'Pt 2 Premium and Claims'!Q6-'Pt 2 Premium and Claims'!Q7-'Pt 2 Premium and Claims'!Q13+'Pt 2 Premium and Claims'!Q14</f>
        <v>159485455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5648467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-181</v>
      </c>
      <c r="K7" s="116">
        <f>J7</f>
        <v>-181</v>
      </c>
      <c r="L7" s="116"/>
      <c r="M7" s="116"/>
      <c r="N7" s="116"/>
      <c r="O7" s="115">
        <v>0</v>
      </c>
      <c r="P7" s="115">
        <v>-186186</v>
      </c>
      <c r="Q7" s="116">
        <f>P7</f>
        <v>-186186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-6602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56501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172508</v>
      </c>
      <c r="K12" s="112">
        <f>'Pt 2 Premium and Claims'!K54</f>
        <v>184762</v>
      </c>
      <c r="L12" s="112"/>
      <c r="M12" s="112"/>
      <c r="N12" s="112"/>
      <c r="O12" s="111">
        <f>'Pt 2 Premium and Claims'!O54</f>
        <v>0</v>
      </c>
      <c r="P12" s="111">
        <f>'Pt 2 Premium and Claims'!P54</f>
        <v>132711553</v>
      </c>
      <c r="Q12" s="112">
        <f>'Pt 2 Premium and Claims'!Q54</f>
        <v>132525992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5163</v>
      </c>
      <c r="AT12" s="113">
        <f>'Pt 2 Premium and Claims'!AT54</f>
        <v>5148714</v>
      </c>
      <c r="AU12" s="113">
        <f>'Pt 2 Premium and Claims'!AU54</f>
        <v>0</v>
      </c>
      <c r="AV12" s="318"/>
      <c r="AW12" s="323"/>
    </row>
    <row r="13" spans="1:49" ht="25.5" x14ac:dyDescent="0.2">
      <c r="B13" s="161" t="s">
        <v>230</v>
      </c>
      <c r="C13" s="68" t="s">
        <v>37</v>
      </c>
      <c r="D13" s="115">
        <v>0</v>
      </c>
      <c r="E13" s="116">
        <v>0</v>
      </c>
      <c r="F13" s="116"/>
      <c r="G13" s="295"/>
      <c r="H13" s="296"/>
      <c r="I13" s="115">
        <v>0</v>
      </c>
      <c r="J13" s="115">
        <v>63585</v>
      </c>
      <c r="K13" s="116">
        <v>61943</v>
      </c>
      <c r="L13" s="116"/>
      <c r="M13" s="295"/>
      <c r="N13" s="296"/>
      <c r="O13" s="115">
        <v>0</v>
      </c>
      <c r="P13" s="115">
        <v>16905610</v>
      </c>
      <c r="Q13" s="116">
        <v>16868205</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5721</v>
      </c>
      <c r="AT13" s="119">
        <v>0</v>
      </c>
      <c r="AU13" s="119">
        <v>0</v>
      </c>
      <c r="AV13" s="317"/>
      <c r="AW13" s="324"/>
    </row>
    <row r="14" spans="1:49" ht="25.5" x14ac:dyDescent="0.2">
      <c r="B14" s="161" t="s">
        <v>231</v>
      </c>
      <c r="C14" s="68" t="s">
        <v>6</v>
      </c>
      <c r="D14" s="115">
        <v>0</v>
      </c>
      <c r="E14" s="116">
        <v>0</v>
      </c>
      <c r="F14" s="116"/>
      <c r="G14" s="294"/>
      <c r="H14" s="297"/>
      <c r="I14" s="115">
        <v>0</v>
      </c>
      <c r="J14" s="115">
        <v>3797</v>
      </c>
      <c r="K14" s="116">
        <v>16221</v>
      </c>
      <c r="L14" s="116"/>
      <c r="M14" s="294"/>
      <c r="N14" s="297"/>
      <c r="O14" s="115">
        <v>0</v>
      </c>
      <c r="P14" s="115">
        <v>1650465</v>
      </c>
      <c r="Q14" s="116">
        <v>1357360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559</v>
      </c>
      <c r="AT14" s="119">
        <v>261267</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116595</v>
      </c>
      <c r="Q15" s="116">
        <v>121145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-480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-11083</v>
      </c>
      <c r="K25" s="116">
        <f>J25</f>
        <v>-11083</v>
      </c>
      <c r="L25" s="116"/>
      <c r="M25" s="116"/>
      <c r="N25" s="116"/>
      <c r="O25" s="115">
        <v>0</v>
      </c>
      <c r="P25" s="115">
        <v>4847948</v>
      </c>
      <c r="Q25" s="116">
        <f>P25</f>
        <v>4847948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-1860</v>
      </c>
      <c r="AT25" s="119">
        <v>-135343</v>
      </c>
      <c r="AU25" s="119">
        <v>0</v>
      </c>
      <c r="AV25" s="119">
        <v>-362584</v>
      </c>
      <c r="AW25" s="324"/>
    </row>
    <row r="26" spans="1:49" s="11" customFormat="1" x14ac:dyDescent="0.2">
      <c r="A26" s="41"/>
      <c r="B26" s="164" t="s">
        <v>243</v>
      </c>
      <c r="C26" s="68"/>
      <c r="D26" s="115">
        <v>0</v>
      </c>
      <c r="E26" s="116">
        <f>D26</f>
        <v>0</v>
      </c>
      <c r="F26" s="116"/>
      <c r="G26" s="116"/>
      <c r="H26" s="116"/>
      <c r="I26" s="115">
        <v>0</v>
      </c>
      <c r="J26" s="115">
        <v>64</v>
      </c>
      <c r="K26" s="116">
        <f>J26</f>
        <v>64</v>
      </c>
      <c r="L26" s="116"/>
      <c r="M26" s="116"/>
      <c r="N26" s="116"/>
      <c r="O26" s="115">
        <v>0</v>
      </c>
      <c r="P26" s="115">
        <v>63354</v>
      </c>
      <c r="Q26" s="116">
        <f>P26</f>
        <v>63354</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3038</v>
      </c>
      <c r="K27" s="116">
        <f>J27</f>
        <v>3038</v>
      </c>
      <c r="L27" s="116"/>
      <c r="M27" s="116"/>
      <c r="N27" s="116"/>
      <c r="O27" s="115">
        <v>0</v>
      </c>
      <c r="P27" s="115">
        <v>2291409</v>
      </c>
      <c r="Q27" s="116">
        <f>P27</f>
        <v>2291409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143023</v>
      </c>
      <c r="AU27" s="119">
        <v>0</v>
      </c>
      <c r="AV27" s="320"/>
      <c r="AW27" s="324"/>
    </row>
    <row r="28" spans="1:49" s="11" customFormat="1" x14ac:dyDescent="0.2">
      <c r="A28" s="41"/>
      <c r="B28" s="164" t="s">
        <v>245</v>
      </c>
      <c r="C28" s="68"/>
      <c r="D28" s="115">
        <v>0</v>
      </c>
      <c r="E28" s="116">
        <f>D28</f>
        <v>0</v>
      </c>
      <c r="F28" s="116"/>
      <c r="G28" s="116"/>
      <c r="H28" s="116"/>
      <c r="I28" s="115">
        <v>0</v>
      </c>
      <c r="J28" s="115">
        <v>538</v>
      </c>
      <c r="K28" s="116">
        <f>J28</f>
        <v>538</v>
      </c>
      <c r="L28" s="116"/>
      <c r="M28" s="116"/>
      <c r="N28" s="116"/>
      <c r="O28" s="115">
        <v>0</v>
      </c>
      <c r="P28" s="115">
        <v>405364</v>
      </c>
      <c r="Q28" s="116">
        <f>P28</f>
        <v>405364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12173</v>
      </c>
      <c r="AU28" s="119">
        <v>0</v>
      </c>
      <c r="AV28" s="119">
        <v>47266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483</v>
      </c>
      <c r="K30" s="116">
        <f>J30</f>
        <v>483</v>
      </c>
      <c r="L30" s="116"/>
      <c r="M30" s="116"/>
      <c r="N30" s="116"/>
      <c r="O30" s="115">
        <v>0</v>
      </c>
      <c r="P30" s="115">
        <v>494451</v>
      </c>
      <c r="Q30" s="116">
        <f>P30</f>
        <v>494451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17309</v>
      </c>
      <c r="AU30" s="119">
        <v>0</v>
      </c>
      <c r="AV30" s="119">
        <v>1471</v>
      </c>
      <c r="AW30" s="324"/>
    </row>
    <row r="31" spans="1:49" x14ac:dyDescent="0.2">
      <c r="B31" s="164" t="s">
        <v>248</v>
      </c>
      <c r="C31" s="68"/>
      <c r="D31" s="115">
        <v>0</v>
      </c>
      <c r="E31" s="116">
        <f>D31</f>
        <v>0</v>
      </c>
      <c r="F31" s="116"/>
      <c r="G31" s="116"/>
      <c r="H31" s="116"/>
      <c r="I31" s="115">
        <v>0</v>
      </c>
      <c r="J31" s="115">
        <v>2698</v>
      </c>
      <c r="K31" s="116">
        <f>J31</f>
        <v>2698</v>
      </c>
      <c r="L31" s="116"/>
      <c r="M31" s="116"/>
      <c r="N31" s="116"/>
      <c r="O31" s="115">
        <v>0</v>
      </c>
      <c r="P31" s="115">
        <v>2782347</v>
      </c>
      <c r="Q31" s="116">
        <f>P31</f>
        <v>2782347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98661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41715</v>
      </c>
      <c r="Q34" s="116">
        <f>P34</f>
        <v>41715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81</v>
      </c>
      <c r="K37" s="124">
        <v>81</v>
      </c>
      <c r="L37" s="124"/>
      <c r="M37" s="124"/>
      <c r="N37" s="124"/>
      <c r="O37" s="123">
        <v>0</v>
      </c>
      <c r="P37" s="123">
        <v>62976</v>
      </c>
      <c r="Q37" s="124">
        <v>62835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118</v>
      </c>
      <c r="AU37" s="125">
        <v>0</v>
      </c>
      <c r="AV37" s="125">
        <v>57656</v>
      </c>
      <c r="AW37" s="323"/>
    </row>
    <row r="38" spans="1:49" x14ac:dyDescent="0.2">
      <c r="B38" s="161" t="s">
        <v>255</v>
      </c>
      <c r="C38" s="68" t="s">
        <v>16</v>
      </c>
      <c r="D38" s="115">
        <v>0</v>
      </c>
      <c r="E38" s="116">
        <v>0</v>
      </c>
      <c r="F38" s="116"/>
      <c r="G38" s="116"/>
      <c r="H38" s="116"/>
      <c r="I38" s="115">
        <v>0</v>
      </c>
      <c r="J38" s="115">
        <v>4</v>
      </c>
      <c r="K38" s="116">
        <v>4</v>
      </c>
      <c r="L38" s="116"/>
      <c r="M38" s="116"/>
      <c r="N38" s="116"/>
      <c r="O38" s="115">
        <v>0</v>
      </c>
      <c r="P38" s="115">
        <v>3584</v>
      </c>
      <c r="Q38" s="116">
        <v>3465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v>
      </c>
      <c r="AU38" s="119">
        <v>0</v>
      </c>
      <c r="AV38" s="119">
        <v>4679</v>
      </c>
      <c r="AW38" s="324"/>
    </row>
    <row r="39" spans="1:49" x14ac:dyDescent="0.2">
      <c r="B39" s="164" t="s">
        <v>256</v>
      </c>
      <c r="C39" s="68" t="s">
        <v>17</v>
      </c>
      <c r="D39" s="115">
        <v>0</v>
      </c>
      <c r="E39" s="116">
        <v>0</v>
      </c>
      <c r="F39" s="116"/>
      <c r="G39" s="116"/>
      <c r="H39" s="116"/>
      <c r="I39" s="115">
        <v>0</v>
      </c>
      <c r="J39" s="115">
        <v>25</v>
      </c>
      <c r="K39" s="116">
        <v>6</v>
      </c>
      <c r="L39" s="116"/>
      <c r="M39" s="116"/>
      <c r="N39" s="116"/>
      <c r="O39" s="115">
        <v>0</v>
      </c>
      <c r="P39" s="115">
        <v>21679</v>
      </c>
      <c r="Q39" s="116">
        <v>21413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113</v>
      </c>
      <c r="AU39" s="119">
        <v>0</v>
      </c>
      <c r="AV39" s="119">
        <v>1632</v>
      </c>
      <c r="AW39" s="324"/>
    </row>
    <row r="40" spans="1:49" x14ac:dyDescent="0.2">
      <c r="B40" s="164" t="s">
        <v>257</v>
      </c>
      <c r="C40" s="68" t="s">
        <v>38</v>
      </c>
      <c r="D40" s="115">
        <v>0</v>
      </c>
      <c r="E40" s="116">
        <v>0</v>
      </c>
      <c r="F40" s="116"/>
      <c r="G40" s="116"/>
      <c r="H40" s="116"/>
      <c r="I40" s="115">
        <v>0</v>
      </c>
      <c r="J40" s="115">
        <v>22</v>
      </c>
      <c r="K40" s="116">
        <v>22</v>
      </c>
      <c r="L40" s="116"/>
      <c r="M40" s="116"/>
      <c r="N40" s="116"/>
      <c r="O40" s="115">
        <v>0</v>
      </c>
      <c r="P40" s="115">
        <v>16703</v>
      </c>
      <c r="Q40" s="116">
        <v>16698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10</v>
      </c>
      <c r="AU40" s="119">
        <v>0</v>
      </c>
      <c r="AV40" s="119">
        <v>9809</v>
      </c>
      <c r="AW40" s="324"/>
    </row>
    <row r="41" spans="1:49" s="11" customFormat="1" ht="25.5" x14ac:dyDescent="0.2">
      <c r="A41" s="41"/>
      <c r="B41" s="164" t="s">
        <v>258</v>
      </c>
      <c r="C41" s="68" t="s">
        <v>129</v>
      </c>
      <c r="D41" s="115">
        <v>0</v>
      </c>
      <c r="E41" s="116">
        <v>0</v>
      </c>
      <c r="F41" s="116"/>
      <c r="G41" s="116"/>
      <c r="H41" s="116"/>
      <c r="I41" s="115">
        <v>0</v>
      </c>
      <c r="J41" s="115">
        <v>76</v>
      </c>
      <c r="K41" s="116">
        <v>76</v>
      </c>
      <c r="L41" s="116"/>
      <c r="M41" s="116"/>
      <c r="N41" s="116"/>
      <c r="O41" s="115">
        <v>0</v>
      </c>
      <c r="P41" s="115">
        <v>58332</v>
      </c>
      <c r="Q41" s="116">
        <v>58332</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416</v>
      </c>
      <c r="AU41" s="119">
        <v>0</v>
      </c>
      <c r="AV41" s="119">
        <v>22932</v>
      </c>
      <c r="AW41" s="324"/>
    </row>
    <row r="42" spans="1:49" s="11" customFormat="1" ht="24.95" customHeight="1" x14ac:dyDescent="0.2">
      <c r="A42" s="41"/>
      <c r="B42" s="161" t="s">
        <v>259</v>
      </c>
      <c r="C42" s="68" t="s">
        <v>87</v>
      </c>
      <c r="D42" s="115">
        <v>0</v>
      </c>
      <c r="E42" s="116">
        <f>D42</f>
        <v>0</v>
      </c>
      <c r="F42" s="116"/>
      <c r="G42" s="116"/>
      <c r="H42" s="116"/>
      <c r="I42" s="115">
        <v>0</v>
      </c>
      <c r="J42" s="115">
        <v>24</v>
      </c>
      <c r="K42" s="116">
        <f>J42</f>
        <v>24</v>
      </c>
      <c r="L42" s="116"/>
      <c r="M42" s="116"/>
      <c r="N42" s="116"/>
      <c r="O42" s="115">
        <v>0</v>
      </c>
      <c r="P42" s="115">
        <v>18362</v>
      </c>
      <c r="Q42" s="116">
        <f>P42</f>
        <v>18362</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3978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1498</v>
      </c>
      <c r="K44" s="124">
        <v>1389</v>
      </c>
      <c r="L44" s="124"/>
      <c r="M44" s="124"/>
      <c r="N44" s="124"/>
      <c r="O44" s="123">
        <v>0</v>
      </c>
      <c r="P44" s="123">
        <v>1228055</v>
      </c>
      <c r="Q44" s="124">
        <v>1213484</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247</v>
      </c>
      <c r="AU44" s="125">
        <v>0</v>
      </c>
      <c r="AV44" s="125">
        <v>234644</v>
      </c>
      <c r="AW44" s="323"/>
    </row>
    <row r="45" spans="1:49" x14ac:dyDescent="0.2">
      <c r="B45" s="167" t="s">
        <v>262</v>
      </c>
      <c r="C45" s="68" t="s">
        <v>19</v>
      </c>
      <c r="D45" s="115">
        <v>0</v>
      </c>
      <c r="E45" s="116">
        <f>D45</f>
        <v>0</v>
      </c>
      <c r="F45" s="116"/>
      <c r="G45" s="116"/>
      <c r="H45" s="116"/>
      <c r="I45" s="115">
        <v>0</v>
      </c>
      <c r="J45" s="115">
        <v>74</v>
      </c>
      <c r="K45" s="116">
        <f>J45</f>
        <v>74</v>
      </c>
      <c r="L45" s="116"/>
      <c r="M45" s="116"/>
      <c r="N45" s="116"/>
      <c r="O45" s="115">
        <v>0</v>
      </c>
      <c r="P45" s="115">
        <v>55916</v>
      </c>
      <c r="Q45" s="116">
        <f>P45</f>
        <v>55916</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1199</v>
      </c>
      <c r="AU45" s="119">
        <v>0</v>
      </c>
      <c r="AV45" s="119">
        <v>355</v>
      </c>
      <c r="AW45" s="324"/>
    </row>
    <row r="46" spans="1:49" x14ac:dyDescent="0.2">
      <c r="B46" s="167" t="s">
        <v>263</v>
      </c>
      <c r="C46" s="68" t="s">
        <v>20</v>
      </c>
      <c r="D46" s="115">
        <v>0</v>
      </c>
      <c r="E46" s="116">
        <f>D46</f>
        <v>0</v>
      </c>
      <c r="F46" s="116"/>
      <c r="G46" s="116"/>
      <c r="H46" s="116"/>
      <c r="I46" s="115">
        <v>0</v>
      </c>
      <c r="J46" s="115">
        <v>766</v>
      </c>
      <c r="K46" s="116">
        <f>J46</f>
        <v>766</v>
      </c>
      <c r="L46" s="116"/>
      <c r="M46" s="116"/>
      <c r="N46" s="116"/>
      <c r="O46" s="115">
        <v>0</v>
      </c>
      <c r="P46" s="115">
        <v>577787</v>
      </c>
      <c r="Q46" s="116">
        <f>P46</f>
        <v>577787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9220</v>
      </c>
      <c r="AU46" s="119">
        <v>0</v>
      </c>
      <c r="AV46" s="119">
        <v>80203</v>
      </c>
      <c r="AW46" s="324"/>
    </row>
    <row r="47" spans="1:49" x14ac:dyDescent="0.2">
      <c r="B47" s="167" t="s">
        <v>264</v>
      </c>
      <c r="C47" s="68" t="s">
        <v>21</v>
      </c>
      <c r="D47" s="115">
        <v>0</v>
      </c>
      <c r="E47" s="116">
        <f>D47</f>
        <v>0</v>
      </c>
      <c r="F47" s="116"/>
      <c r="G47" s="116"/>
      <c r="H47" s="116"/>
      <c r="I47" s="115">
        <v>0</v>
      </c>
      <c r="J47" s="115">
        <v>3282</v>
      </c>
      <c r="K47" s="116">
        <f>J47</f>
        <v>3282</v>
      </c>
      <c r="L47" s="116"/>
      <c r="M47" s="116"/>
      <c r="N47" s="116"/>
      <c r="O47" s="115">
        <v>0</v>
      </c>
      <c r="P47" s="115">
        <v>3384436</v>
      </c>
      <c r="Q47" s="116">
        <f>P47</f>
        <v>3384436</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120011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85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295</v>
      </c>
      <c r="AW50" s="324"/>
    </row>
    <row r="51" spans="2:49" x14ac:dyDescent="0.2">
      <c r="B51" s="161" t="s">
        <v>267</v>
      </c>
      <c r="C51" s="68"/>
      <c r="D51" s="115">
        <v>0</v>
      </c>
      <c r="E51" s="116">
        <f>D51</f>
        <v>0</v>
      </c>
      <c r="F51" s="116"/>
      <c r="G51" s="116"/>
      <c r="H51" s="116"/>
      <c r="I51" s="115">
        <v>0</v>
      </c>
      <c r="J51" s="115">
        <v>3869</v>
      </c>
      <c r="K51" s="116">
        <f>J51</f>
        <v>3869</v>
      </c>
      <c r="L51" s="116"/>
      <c r="M51" s="116"/>
      <c r="N51" s="116"/>
      <c r="O51" s="115">
        <v>0</v>
      </c>
      <c r="P51" s="115">
        <v>2925653</v>
      </c>
      <c r="Q51" s="116">
        <f>P51</f>
        <v>2925653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647503</v>
      </c>
      <c r="AU51" s="119">
        <v>0</v>
      </c>
      <c r="AV51" s="119">
        <v>1407065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27</v>
      </c>
      <c r="K53" s="116">
        <f>J53</f>
        <v>27</v>
      </c>
      <c r="L53" s="116"/>
      <c r="M53" s="295"/>
      <c r="N53" s="295"/>
      <c r="O53" s="115">
        <v>0</v>
      </c>
      <c r="P53" s="115">
        <v>20417</v>
      </c>
      <c r="Q53" s="116">
        <f>P53</f>
        <v>20417</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2465</v>
      </c>
      <c r="AU53" s="119">
        <v>0</v>
      </c>
      <c r="AV53" s="119">
        <v>4976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833387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13426</v>
      </c>
      <c r="Q56" s="128">
        <f>P56</f>
        <v>13426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17835</v>
      </c>
      <c r="AU56" s="129">
        <v>0</v>
      </c>
      <c r="AV56" s="129">
        <v>13113</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29749</v>
      </c>
      <c r="Q57" s="131">
        <f>P57</f>
        <v>29749</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35483</v>
      </c>
      <c r="AU57" s="132">
        <v>0</v>
      </c>
      <c r="AV57" s="132">
        <v>14239</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10</v>
      </c>
      <c r="Q58" s="131">
        <f>P58</f>
        <v>10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8</v>
      </c>
      <c r="AU58" s="132">
        <v>0</v>
      </c>
      <c r="AV58" s="132">
        <v>4</v>
      </c>
      <c r="AW58" s="316"/>
    </row>
    <row r="59" spans="2:49" x14ac:dyDescent="0.2">
      <c r="B59" s="167" t="s">
        <v>275</v>
      </c>
      <c r="C59" s="68" t="s">
        <v>27</v>
      </c>
      <c r="D59" s="130">
        <v>0</v>
      </c>
      <c r="E59" s="131">
        <v>0</v>
      </c>
      <c r="F59" s="131"/>
      <c r="G59" s="131"/>
      <c r="H59" s="131"/>
      <c r="I59" s="130">
        <v>0</v>
      </c>
      <c r="J59" s="130">
        <v>484</v>
      </c>
      <c r="K59" s="131">
        <v>484</v>
      </c>
      <c r="L59" s="131"/>
      <c r="M59" s="131"/>
      <c r="N59" s="131"/>
      <c r="O59" s="130">
        <v>0</v>
      </c>
      <c r="P59" s="130">
        <v>365010</v>
      </c>
      <c r="Q59" s="131">
        <v>365010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437725</v>
      </c>
      <c r="AU59" s="132">
        <v>0</v>
      </c>
      <c r="AV59" s="132">
        <v>177306</v>
      </c>
      <c r="AW59" s="316"/>
    </row>
    <row r="60" spans="2:49" x14ac:dyDescent="0.2">
      <c r="B60" s="167" t="s">
        <v>276</v>
      </c>
      <c r="C60" s="68"/>
      <c r="D60" s="133">
        <f>D59/12</f>
        <v>0</v>
      </c>
      <c r="E60" s="134">
        <f>E59/12</f>
        <v>0</v>
      </c>
      <c r="F60" s="134"/>
      <c r="G60" s="134"/>
      <c r="H60" s="134"/>
      <c r="I60" s="133">
        <f>I59/12</f>
        <v>0</v>
      </c>
      <c r="J60" s="133">
        <f>J59/12</f>
        <v>40.333333333333336</v>
      </c>
      <c r="K60" s="134">
        <f>K59/12</f>
        <v>40.333333333333336</v>
      </c>
      <c r="L60" s="134"/>
      <c r="M60" s="134"/>
      <c r="N60" s="134"/>
      <c r="O60" s="133">
        <f>O59/12</f>
        <v>0</v>
      </c>
      <c r="P60" s="133">
        <f>P59/12</f>
        <v>30417.5</v>
      </c>
      <c r="Q60" s="134">
        <f>Q59/12</f>
        <v>30417.5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36477.083333333336</v>
      </c>
      <c r="AU60" s="135">
        <f>AU59/12</f>
        <v>0</v>
      </c>
      <c r="AV60" s="135">
        <f>AV59/12</f>
        <v>14775.5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1446885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490641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154965</v>
      </c>
      <c r="K5" s="124">
        <v>155438</v>
      </c>
      <c r="L5" s="124"/>
      <c r="M5" s="124"/>
      <c r="N5" s="124"/>
      <c r="O5" s="123">
        <v>0</v>
      </c>
      <c r="P5" s="123">
        <v>159362085</v>
      </c>
      <c r="Q5" s="124">
        <v>159485628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5646462</v>
      </c>
      <c r="AU5" s="125">
        <v>0</v>
      </c>
      <c r="AV5" s="318"/>
      <c r="AW5" s="323"/>
    </row>
    <row r="6" spans="2:49" x14ac:dyDescent="0.2">
      <c r="B6" s="182" t="s">
        <v>279</v>
      </c>
      <c r="C6" s="139" t="s">
        <v>8</v>
      </c>
      <c r="D6" s="115">
        <v>0</v>
      </c>
      <c r="E6" s="116">
        <f>D6</f>
        <v>0</v>
      </c>
      <c r="F6" s="116"/>
      <c r="G6" s="117"/>
      <c r="H6" s="117"/>
      <c r="I6" s="115">
        <v>0</v>
      </c>
      <c r="J6" s="115">
        <v>1126</v>
      </c>
      <c r="K6" s="116">
        <f>J6</f>
        <v>1126</v>
      </c>
      <c r="L6" s="116"/>
      <c r="M6" s="116"/>
      <c r="N6" s="116"/>
      <c r="O6" s="115">
        <v>0</v>
      </c>
      <c r="P6" s="115">
        <v>26005</v>
      </c>
      <c r="Q6" s="116">
        <v>26005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3844</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27832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617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213401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213401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24213457</v>
      </c>
      <c r="Q11" s="116">
        <f>Q42</f>
        <v>11839985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12373472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1652</v>
      </c>
      <c r="K13" s="116">
        <v>0</v>
      </c>
      <c r="L13" s="116"/>
      <c r="M13" s="116"/>
      <c r="N13" s="116"/>
      <c r="O13" s="115">
        <v>0</v>
      </c>
      <c r="P13" s="115">
        <v>83992</v>
      </c>
      <c r="Q13" s="116">
        <v>26178</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1222</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428605</v>
      </c>
      <c r="K23" s="294"/>
      <c r="L23" s="294"/>
      <c r="M23" s="294"/>
      <c r="N23" s="294"/>
      <c r="O23" s="298"/>
      <c r="P23" s="115">
        <v>122156386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5663</v>
      </c>
      <c r="AT23" s="119">
        <v>5143308</v>
      </c>
      <c r="AU23" s="119">
        <v>0</v>
      </c>
      <c r="AV23" s="317"/>
      <c r="AW23" s="324"/>
    </row>
    <row r="24" spans="2:49" ht="28.5" customHeight="1" x14ac:dyDescent="0.2">
      <c r="B24" s="184" t="s">
        <v>114</v>
      </c>
      <c r="C24" s="139"/>
      <c r="D24" s="299"/>
      <c r="E24" s="116">
        <v>0</v>
      </c>
      <c r="F24" s="116"/>
      <c r="G24" s="116"/>
      <c r="H24" s="116"/>
      <c r="I24" s="115">
        <v>0</v>
      </c>
      <c r="J24" s="299"/>
      <c r="K24" s="116">
        <v>186416</v>
      </c>
      <c r="L24" s="116"/>
      <c r="M24" s="116"/>
      <c r="N24" s="116"/>
      <c r="O24" s="115">
        <v>0</v>
      </c>
      <c r="P24" s="299"/>
      <c r="Q24" s="116">
        <v>119600806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13152</v>
      </c>
      <c r="K26" s="294"/>
      <c r="L26" s="294"/>
      <c r="M26" s="294"/>
      <c r="N26" s="294"/>
      <c r="O26" s="298"/>
      <c r="P26" s="115">
        <v>10822893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338468</v>
      </c>
      <c r="AU26" s="119">
        <v>0</v>
      </c>
      <c r="AV26" s="317"/>
      <c r="AW26" s="324"/>
    </row>
    <row r="27" spans="2:49" s="11" customFormat="1" ht="25.5" x14ac:dyDescent="0.2">
      <c r="B27" s="184" t="s">
        <v>85</v>
      </c>
      <c r="C27" s="139"/>
      <c r="D27" s="299"/>
      <c r="E27" s="116">
        <v>0</v>
      </c>
      <c r="F27" s="116"/>
      <c r="G27" s="116"/>
      <c r="H27" s="116"/>
      <c r="I27" s="115">
        <v>0</v>
      </c>
      <c r="J27" s="299"/>
      <c r="K27" s="116">
        <v>1739</v>
      </c>
      <c r="L27" s="116"/>
      <c r="M27" s="116"/>
      <c r="N27" s="116"/>
      <c r="O27" s="115">
        <v>0</v>
      </c>
      <c r="P27" s="299"/>
      <c r="Q27" s="116">
        <v>1026544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280802</v>
      </c>
      <c r="K28" s="295"/>
      <c r="L28" s="295"/>
      <c r="M28" s="295"/>
      <c r="N28" s="295"/>
      <c r="O28" s="299"/>
      <c r="P28" s="115">
        <v>12218289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333062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114</v>
      </c>
      <c r="K34" s="294"/>
      <c r="L34" s="294"/>
      <c r="M34" s="294"/>
      <c r="N34" s="294"/>
      <c r="O34" s="298"/>
      <c r="P34" s="115">
        <v>87734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114</v>
      </c>
      <c r="L35" s="116"/>
      <c r="M35" s="116"/>
      <c r="N35" s="116"/>
      <c r="O35" s="115">
        <v>0</v>
      </c>
      <c r="P35" s="299"/>
      <c r="Q35" s="116">
        <f>P34</f>
        <v>87734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2419</v>
      </c>
      <c r="K36" s="116">
        <f>J36</f>
        <v>2419</v>
      </c>
      <c r="L36" s="116"/>
      <c r="M36" s="116"/>
      <c r="N36" s="116"/>
      <c r="O36" s="115">
        <v>0</v>
      </c>
      <c r="P36" s="115">
        <v>99271</v>
      </c>
      <c r="Q36" s="116">
        <f>P36</f>
        <v>99271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213401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213401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24213457</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11839985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12373472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328</v>
      </c>
      <c r="K45" s="116">
        <v>4</v>
      </c>
      <c r="L45" s="116"/>
      <c r="M45" s="116"/>
      <c r="N45" s="116"/>
      <c r="O45" s="115">
        <v>0</v>
      </c>
      <c r="P45" s="115">
        <v>33457</v>
      </c>
      <c r="Q45" s="116">
        <v>19968</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1438</v>
      </c>
      <c r="K49" s="116">
        <v>1092</v>
      </c>
      <c r="L49" s="116"/>
      <c r="M49" s="116"/>
      <c r="N49" s="116"/>
      <c r="O49" s="115">
        <v>0</v>
      </c>
      <c r="P49" s="115">
        <v>648199</v>
      </c>
      <c r="Q49" s="116">
        <v>163175</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500</v>
      </c>
      <c r="AT49" s="119">
        <v>0</v>
      </c>
      <c r="AU49" s="119">
        <v>0</v>
      </c>
      <c r="AV49" s="317"/>
      <c r="AW49" s="324"/>
    </row>
    <row r="50" spans="2:49" x14ac:dyDescent="0.2">
      <c r="B50" s="182" t="s">
        <v>119</v>
      </c>
      <c r="C50" s="139" t="s">
        <v>34</v>
      </c>
      <c r="D50" s="115">
        <v>0</v>
      </c>
      <c r="E50" s="295"/>
      <c r="F50" s="295"/>
      <c r="G50" s="295"/>
      <c r="H50" s="295"/>
      <c r="I50" s="299"/>
      <c r="J50" s="115">
        <v>14968</v>
      </c>
      <c r="K50" s="295"/>
      <c r="L50" s="295"/>
      <c r="M50" s="295"/>
      <c r="N50" s="295"/>
      <c r="O50" s="299"/>
      <c r="P50" s="115">
        <v>523456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172508</v>
      </c>
      <c r="K54" s="121">
        <f>K24+K27+K31+K35-K36+K39+K42+K45+K46-K49+K51+K52+K53</f>
        <v>184762</v>
      </c>
      <c r="L54" s="121"/>
      <c r="M54" s="121"/>
      <c r="N54" s="121"/>
      <c r="O54" s="120">
        <f>O24+O27+O31+O35-O36+O39+O42+O45+O46-O49+O51+O52+O53</f>
        <v>0</v>
      </c>
      <c r="P54" s="120">
        <f>P23+P26-P28+P30-P32+P34-P36+P38+P41-P43+P45+P46-P47-P49+P50+P51+P52+P53</f>
        <v>132711553</v>
      </c>
      <c r="Q54" s="121">
        <f>Q24+Q27+Q31+Q35-Q36+Q39+Q42+Q45+Q46-Q49+Q51+Q52+Q53</f>
        <v>132525992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5163</v>
      </c>
      <c r="AT54" s="122">
        <f>AT23+AT26-AT28+AT30-AT32+AT34-AT36+AT38+AT41-AT43+AT45+AT46-AT47-AT49+AT50+AT51+AT52+AT53</f>
        <v>5148714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377684.19</v>
      </c>
      <c r="I5" s="124">
        <v>3505070</v>
      </c>
      <c r="J5" s="352"/>
      <c r="K5" s="352"/>
      <c r="L5" s="318"/>
      <c r="M5" s="123">
        <v>1559014.32</v>
      </c>
      <c r="N5" s="124">
        <v>136418853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398184</v>
      </c>
      <c r="I6" s="116">
        <v>3633645</v>
      </c>
      <c r="J6" s="121">
        <f>'Pt 1 Summary of Data'!K12+'Pt 1 Summary of Data'!K22</f>
        <v>184762</v>
      </c>
      <c r="K6" s="121">
        <f>SUM(H6:J6)</f>
        <v>4216591</v>
      </c>
      <c r="L6" s="122">
        <f>'Pt 1 Summary of Data'!O12+'Pt 1 Summary of Data'!O22</f>
        <v>0</v>
      </c>
      <c r="M6" s="115">
        <v>1581719</v>
      </c>
      <c r="N6" s="116">
        <v>136925541</v>
      </c>
      <c r="O6" s="121">
        <f>'Pt 1 Summary of Data'!Q12+'Pt 1 Summary of Data'!Q22</f>
        <v>132525992</v>
      </c>
      <c r="P6" s="121">
        <f>SUM(M6:O6)</f>
        <v>271033252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2012</v>
      </c>
      <c r="I7" s="116">
        <v>12544</v>
      </c>
      <c r="J7" s="121">
        <f>SUM('Pt 1 Summary of Data'!K37:K41)+MAX(0,MIN('Pt 1 Summary of Data'!K42,0.3%*('Pt 1 Summary of Data'!K5-SUM(J10:J11))))</f>
        <v>213</v>
      </c>
      <c r="K7" s="121">
        <f>SUM(H7:J7)</f>
        <v>14769</v>
      </c>
      <c r="L7" s="122">
        <f>SUM('Pt 1 Summary of Data'!O37:O41)+MAX(0,MIN('Pt 1 Summary of Data'!O42,0.3%*('Pt 1 Summary of Data'!O5-L10)))</f>
        <v>0</v>
      </c>
      <c r="M7" s="115">
        <v>16116</v>
      </c>
      <c r="N7" s="116">
        <v>367911</v>
      </c>
      <c r="O7" s="121">
        <f>SUM('Pt 1 Summary of Data'!Q37:Q41)+MAX(0,MIN('Pt 1 Summary of Data'!Q42,0.3%*('Pt 1 Summary of Data'!Q5)))</f>
        <v>181105</v>
      </c>
      <c r="P7" s="121">
        <f>SUM(M7:O7)</f>
        <v>565132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400196</v>
      </c>
      <c r="I12" s="121">
        <f>SUM(I$6:I$7)+IF(AND(OR('Company Information'!$C$12="District of Columbia",'Company Information'!$C$12="Massachusetts",'Company Information'!$C$12="Vermont"),SUM($H$6:$K$11,$H$15:$K$16,$H$37:$I$37)&lt;&gt;0),SUM(D$6:D$7),0)</f>
        <v>3646189</v>
      </c>
      <c r="J12" s="121">
        <f>SUM(J$6:J$7)-SUM(J$10:J$11)+IF(AND(OR('Company Information'!$C$12="District of Columbia",'Company Information'!$C$12="Massachusetts",'Company Information'!$C$12="Vermont"),SUM($H$6:$K$11,$H$15:$K$16,$H$37:$I$37)&lt;&gt;0),SUM(E$6:E$7)-SUM(E$8:E$11),0)</f>
        <v>184975</v>
      </c>
      <c r="K12" s="121">
        <f>IFERROR(SUM(H$12:J$12)+H$17*MAX(0,J$49-H$49)+I$17*MAX(0,J$49-I$49),0)</f>
        <v>4231360</v>
      </c>
      <c r="L12" s="317"/>
      <c r="M12" s="120">
        <f>SUM(M$6:M$7)</f>
        <v>1597835</v>
      </c>
      <c r="N12" s="121">
        <f>SUM(N$6:N$7)</f>
        <v>137293452</v>
      </c>
      <c r="O12" s="121">
        <f>SUM(O$6:O$7)</f>
        <v>132707097</v>
      </c>
      <c r="P12" s="121">
        <f>SUM(M$12:O$12)+M$17*MAX(0,O$49-M$49)+N$17*MAX(0,O$49-N$49)</f>
        <v>271598384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347063</v>
      </c>
      <c r="I15" s="124">
        <v>2940537</v>
      </c>
      <c r="J15" s="112">
        <f>SUM('Pt 1 Summary of Data'!K$5:K$7)+SUM('Pt 1 Summary of Data'!M$5:M$7)-SUM('Pt 1 Summary of Data'!N$5:N$7)-SUM(J$10:J$11)+I$55</f>
        <v>165926</v>
      </c>
      <c r="K15" s="112">
        <f>SUM(H15:J15)</f>
        <v>3453526</v>
      </c>
      <c r="L15" s="113">
        <f>SUM('Pt 1 Summary of Data'!O5:O7)-L10</f>
        <v>0</v>
      </c>
      <c r="M15" s="123">
        <v>1946209</v>
      </c>
      <c r="N15" s="124">
        <v>152963814</v>
      </c>
      <c r="O15" s="112">
        <f>SUM('Pt 1 Summary of Data'!Q5:Q7)+N55</f>
        <v>160339001</v>
      </c>
      <c r="P15" s="112">
        <f>SUM(M15:O15)</f>
        <v>315249024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45547</v>
      </c>
      <c r="I16" s="116">
        <v>-371280</v>
      </c>
      <c r="J16" s="121">
        <f>'Pt 1 Summary of Data'!K25+'Pt 1 Summary of Data'!K26+'Pt 1 Summary of Data'!K27+'Pt 1 Summary of Data'!K28+'Pt 1 Summary of Data'!K30+'Pt 1 Summary of Data'!K31+'Pt 1 Summary of Data'!K34+'Pt 1 Summary of Data'!K35+'Pt 3 MLR and Rebate Calculation'!I56</f>
        <v>-767</v>
      </c>
      <c r="K16" s="121">
        <f>SUM(H16:J16)</f>
        <v>-326500</v>
      </c>
      <c r="L16" s="122">
        <f>'Pt 1 Summary of Data'!O25+'Pt 1 Summary of Data'!O26+'Pt 1 Summary of Data'!O27+'Pt 1 Summary of Data'!O28+'Pt 1 Summary of Data'!O30+'Pt 1 Summary of Data'!O31+'Pt 1 Summary of Data'!O34+'Pt 1 Summary of Data'!O35</f>
        <v>0</v>
      </c>
      <c r="M16" s="115">
        <v>106140</v>
      </c>
      <c r="N16" s="116">
        <v>5798443</v>
      </c>
      <c r="O16" s="121">
        <f>'Pt 1 Summary of Data'!Q25+'Pt 1 Summary of Data'!Q26+'Pt 1 Summary of Data'!Q27+'Pt 1 Summary of Data'!Q28+'Pt 1 Summary of Data'!Q30+'Pt 1 Summary of Data'!Q31+'Pt 1 Summary of Data'!Q34+'Pt 1 Summary of Data'!Q35+'Pt 3 MLR and Rebate Calculation'!N56</f>
        <v>11315521</v>
      </c>
      <c r="P16" s="121">
        <f>SUM(M16:O16)</f>
        <v>17220104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301516</v>
      </c>
      <c r="I17" s="121">
        <f>I$15-I$16+IF(AND(OR('Company Information'!$C$12="District of Columbia",'Company Information'!$C$12="Massachusetts",'Company Information'!$C$12="Vermont"),SUM($H$6:$K$11,$H$15:$K$16,$H$37:$I$37)&lt;&gt;0),D$15-D$16,0)</f>
        <v>3311817</v>
      </c>
      <c r="J17" s="121">
        <f>J$15-J$16+IF(AND(OR('Company Information'!$C$12="District of Columbia",'Company Information'!$C$12="Massachusetts",'Company Information'!$C$12="Vermont"),SUM($H$6:$K$11,$H$15:$K$16,$H$37:$I$37)&lt;&gt;0),E$15-E$16,0)</f>
        <v>166693</v>
      </c>
      <c r="K17" s="121">
        <f>K$15-K$16+IF(AND(OR('Company Information'!$C$12="District of Columbia",'Company Information'!$C$12="Massachusetts",'Company Information'!$C$12="Vermont"),SUM($H$6:$K$11,$H$15:$K$16,$H$37:$I$37)&lt;&gt;0),F$15-F$16,0)</f>
        <v>3780026</v>
      </c>
      <c r="L17" s="320"/>
      <c r="M17" s="120">
        <f>M$15-M$16</f>
        <v>1840069</v>
      </c>
      <c r="N17" s="121">
        <f>N$15-N$16</f>
        <v>147165371</v>
      </c>
      <c r="O17" s="121">
        <f>O$15-O$16</f>
        <v>149023480</v>
      </c>
      <c r="P17" s="121">
        <f>P$15-P$16</f>
        <v>298028920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69</v>
      </c>
      <c r="I37" s="128">
        <v>576</v>
      </c>
      <c r="J37" s="262">
        <f>'Pt 1 Summary of Data'!K60</f>
        <v>40.333333333333336</v>
      </c>
      <c r="K37" s="262">
        <f>SUM(H37:J37)</f>
        <v>685.33333333333337</v>
      </c>
      <c r="L37" s="318"/>
      <c r="M37" s="127">
        <v>563</v>
      </c>
      <c r="N37" s="128">
        <v>35994</v>
      </c>
      <c r="O37" s="262">
        <f>'Pt 1 Summary of Data'!Q60</f>
        <v>30417.5</v>
      </c>
      <c r="P37" s="262">
        <f>SUM(M37:O37)</f>
        <v>66974.5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3.8522399999999998E-3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3.8522399999999998E-3</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0.93291955211392763</v>
      </c>
      <c r="O44" s="266">
        <f>IF(OR(O$37&lt;1000,O$17&lt;=0),"",O$12/O$17)</f>
        <v>0.89051132747671713</v>
      </c>
      <c r="P44" s="266">
        <f>IF(OR(P$37&lt;1000,P$17&lt;=0),"",P$12/P$17)</f>
        <v>0.91131553273420585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3.8522399999999998E-3</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0.91500000000000004</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0.91500000000000004</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149023480</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9543</v>
      </c>
      <c r="J55" s="294"/>
      <c r="K55" s="294"/>
      <c r="L55" s="317"/>
      <c r="M55" s="298"/>
      <c r="N55" s="116">
        <v>1039732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3495</v>
      </c>
      <c r="J56" s="294"/>
      <c r="K56" s="294"/>
      <c r="L56" s="317"/>
      <c r="M56" s="298"/>
      <c r="N56" s="116">
        <v>388933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13426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506</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