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AA7" i="10"/>
  <c r="AB7" i="10" s="1"/>
  <c r="Z17" i="10"/>
  <c r="Z13" i="10"/>
  <c r="Y46" i="10"/>
  <c r="Y17" i="10"/>
  <c r="Y13" i="10"/>
  <c r="X41" i="10"/>
  <c r="W16" i="10"/>
  <c r="X16" i="10" s="1"/>
  <c r="W15" i="10"/>
  <c r="X15" i="10" s="1"/>
  <c r="T41" i="10"/>
  <c r="S16" i="10"/>
  <c r="T16" i="10" s="1"/>
  <c r="S7" i="10"/>
  <c r="T7" i="10" s="1"/>
  <c r="P41"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7" i="10"/>
  <c r="E16" i="10"/>
  <c r="F16" i="10" s="1"/>
  <c r="E11" i="10"/>
  <c r="F11" i="10" s="1"/>
  <c r="E10" i="10"/>
  <c r="F10" i="10" s="1"/>
  <c r="E9" i="10"/>
  <c r="F9" i="10" s="1"/>
  <c r="E8" i="10"/>
  <c r="F8" i="10" s="1"/>
  <c r="E7" i="10"/>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L20" i="10" s="1"/>
  <c r="N55" i="18"/>
  <c r="N54" i="18"/>
  <c r="M55" i="18"/>
  <c r="M54" i="18"/>
  <c r="M12" i="4" s="1"/>
  <c r="L55" i="18"/>
  <c r="L54" i="18"/>
  <c r="K55" i="18"/>
  <c r="K54" i="18"/>
  <c r="K12" i="4" s="1"/>
  <c r="J55" i="18"/>
  <c r="J54" i="18"/>
  <c r="I55" i="18"/>
  <c r="I54" i="18"/>
  <c r="I12" i="4" s="1"/>
  <c r="G6" i="10" s="1"/>
  <c r="G20" i="10" s="1"/>
  <c r="H55" i="18"/>
  <c r="H54" i="18"/>
  <c r="G55" i="18"/>
  <c r="G54" i="18"/>
  <c r="G12" i="4" s="1"/>
  <c r="F55" i="18"/>
  <c r="F54" i="18"/>
  <c r="E55" i="18"/>
  <c r="E54" i="18"/>
  <c r="E12" i="4" s="1"/>
  <c r="D55" i="18"/>
  <c r="D54" i="18"/>
  <c r="AV60" i="4"/>
  <c r="AU60" i="4"/>
  <c r="AU22" i="4"/>
  <c r="AU12" i="4"/>
  <c r="AU5" i="4"/>
  <c r="AT60" i="4"/>
  <c r="AT22" i="4"/>
  <c r="AT5" i="4"/>
  <c r="AS60" i="4"/>
  <c r="AS22" i="4"/>
  <c r="AS12" i="4"/>
  <c r="AS5" i="4"/>
  <c r="AC60" i="4"/>
  <c r="AC22" i="4"/>
  <c r="AC5" i="4"/>
  <c r="AB60" i="4"/>
  <c r="AB22" i="4"/>
  <c r="AB12" i="4"/>
  <c r="AA6" i="10" s="1"/>
  <c r="AB5" i="4"/>
  <c r="AA15" i="10" s="1"/>
  <c r="AB15" i="10" s="1"/>
  <c r="AA60" i="4"/>
  <c r="AA22" i="4"/>
  <c r="AA5" i="4"/>
  <c r="Z60" i="4"/>
  <c r="Z22" i="4"/>
  <c r="Z12" i="4"/>
  <c r="Z5" i="4"/>
  <c r="Y60" i="4"/>
  <c r="Y22" i="4"/>
  <c r="Y5" i="4"/>
  <c r="W7" i="10" s="1"/>
  <c r="X7" i="10" s="1"/>
  <c r="X60" i="4"/>
  <c r="X22" i="4"/>
  <c r="X12" i="4"/>
  <c r="X5" i="4"/>
  <c r="W60" i="4"/>
  <c r="W22" i="4"/>
  <c r="W5" i="4"/>
  <c r="V60" i="4"/>
  <c r="V22" i="4"/>
  <c r="V12" i="4"/>
  <c r="V5" i="4"/>
  <c r="S15" i="10" s="1"/>
  <c r="T15" i="10" s="1"/>
  <c r="U60" i="4"/>
  <c r="U22" i="4"/>
  <c r="U5" i="4"/>
  <c r="T60" i="4"/>
  <c r="T22" i="4"/>
  <c r="T12" i="4"/>
  <c r="T5" i="4"/>
  <c r="S60" i="4"/>
  <c r="S22" i="4"/>
  <c r="S5" i="4"/>
  <c r="R60" i="4"/>
  <c r="R22" i="4"/>
  <c r="R12" i="4"/>
  <c r="R5" i="4"/>
  <c r="Q60" i="4"/>
  <c r="Q22" i="4"/>
  <c r="Q5" i="4"/>
  <c r="O7" i="10" s="1"/>
  <c r="P7" i="10" s="1"/>
  <c r="P60" i="4"/>
  <c r="P22" i="4"/>
  <c r="P12" i="4"/>
  <c r="P5" i="4"/>
  <c r="O60" i="4"/>
  <c r="O22" i="4"/>
  <c r="O5" i="4"/>
  <c r="L7" i="10" s="1"/>
  <c r="N60" i="4"/>
  <c r="N22" i="4"/>
  <c r="N12" i="4"/>
  <c r="N5" i="4"/>
  <c r="M60" i="4"/>
  <c r="M22" i="4"/>
  <c r="M5" i="4"/>
  <c r="L60" i="4"/>
  <c r="L22" i="4"/>
  <c r="L12" i="4"/>
  <c r="L5" i="4"/>
  <c r="K60" i="4"/>
  <c r="K22" i="4"/>
  <c r="K5" i="4"/>
  <c r="J15" i="10" s="1"/>
  <c r="K15" i="10" s="1"/>
  <c r="J60" i="4"/>
  <c r="J22" i="4"/>
  <c r="J12" i="4"/>
  <c r="J5" i="4"/>
  <c r="I60" i="4"/>
  <c r="I22" i="4"/>
  <c r="I5" i="4"/>
  <c r="H60" i="4"/>
  <c r="H22" i="4"/>
  <c r="H12" i="4"/>
  <c r="H5" i="4"/>
  <c r="G60" i="4"/>
  <c r="G22" i="4"/>
  <c r="G5" i="4"/>
  <c r="F60" i="4"/>
  <c r="F22" i="4"/>
  <c r="F12" i="4"/>
  <c r="F5" i="4"/>
  <c r="E60" i="4"/>
  <c r="E22" i="4"/>
  <c r="E5" i="4"/>
  <c r="E15" i="10" s="1"/>
  <c r="F15" i="10" s="1"/>
  <c r="D60" i="4"/>
  <c r="D22" i="4"/>
  <c r="D12" i="4"/>
  <c r="D5" i="4"/>
  <c r="J6" i="10" l="1"/>
  <c r="O12" i="10"/>
  <c r="O45" i="10" s="1"/>
  <c r="P39" i="10" s="1"/>
  <c r="P6" i="10"/>
  <c r="L32" i="10"/>
  <c r="L24" i="10"/>
  <c r="L27" i="10"/>
  <c r="L23" i="10"/>
  <c r="G32" i="10"/>
  <c r="G24" i="10"/>
  <c r="G22" i="10"/>
  <c r="G27" i="10"/>
  <c r="G23" i="10"/>
  <c r="G19" i="10"/>
  <c r="P52" i="10"/>
  <c r="P42" i="10"/>
  <c r="S6" i="10"/>
  <c r="AB17" i="10"/>
  <c r="L19" i="10"/>
  <c r="L22" i="10" s="1"/>
  <c r="AA17" i="10"/>
  <c r="AB6" i="10"/>
  <c r="AA13" i="10"/>
  <c r="E6" i="10"/>
  <c r="W13" i="10"/>
  <c r="X6" i="10"/>
  <c r="X17" i="10" s="1"/>
  <c r="P12" i="10"/>
  <c r="M45" i="10"/>
  <c r="P15" i="10"/>
  <c r="P17" i="10" s="1"/>
  <c r="AB13" i="10"/>
  <c r="AA46" i="10"/>
  <c r="AB38" i="10"/>
  <c r="J7" i="10"/>
  <c r="K7" i="10" s="1"/>
  <c r="Z46" i="10"/>
  <c r="L30" i="10" l="1"/>
  <c r="L31" i="10" s="1"/>
  <c r="L29" i="10" s="1"/>
  <c r="L33" i="10" s="1"/>
  <c r="L34" i="10" s="1"/>
  <c r="L21" i="10"/>
  <c r="L26" i="10" s="1"/>
  <c r="L25" i="10" s="1"/>
  <c r="L28" i="10" s="1"/>
  <c r="K17" i="10"/>
  <c r="G30" i="10"/>
  <c r="G31" i="10" s="1"/>
  <c r="G29" i="10" s="1"/>
  <c r="G33" i="10" s="1"/>
  <c r="G34" i="10" s="1"/>
  <c r="G21" i="10"/>
  <c r="G26" i="10" s="1"/>
  <c r="G25" i="10" s="1"/>
  <c r="G28" i="10" s="1"/>
  <c r="W38" i="10"/>
  <c r="U17" i="10"/>
  <c r="AB46" i="10"/>
  <c r="AB53" i="10"/>
  <c r="H11" i="16" s="1"/>
  <c r="AB39" i="10"/>
  <c r="AB52" i="10"/>
  <c r="AB42" i="10"/>
  <c r="U13" i="10"/>
  <c r="P45" i="10"/>
  <c r="F6" i="10"/>
  <c r="E17" i="10" s="1"/>
  <c r="E38" i="10"/>
  <c r="C17" i="10"/>
  <c r="E12" i="10"/>
  <c r="D17" i="10"/>
  <c r="D45" i="10" s="1"/>
  <c r="T6" i="10"/>
  <c r="S17" i="10" s="1"/>
  <c r="R17" i="10"/>
  <c r="R46" i="10" s="1"/>
  <c r="S38" i="10"/>
  <c r="R13" i="10"/>
  <c r="K6" i="10"/>
  <c r="J17" i="10" s="1"/>
  <c r="I17" i="10"/>
  <c r="I45" i="10" s="1"/>
  <c r="H12" i="10"/>
  <c r="J12" i="10"/>
  <c r="I12" i="10"/>
  <c r="J38" i="10"/>
  <c r="H17" i="10"/>
  <c r="F17" i="10"/>
  <c r="V13" i="10"/>
  <c r="W17" i="10"/>
  <c r="V17" i="10"/>
  <c r="V46" i="10" s="1"/>
  <c r="T17" i="10"/>
  <c r="K38" i="10" l="1"/>
  <c r="J45" i="10"/>
  <c r="S46" i="10"/>
  <c r="T38" i="10"/>
  <c r="C45" i="10"/>
  <c r="F12" i="10"/>
  <c r="P47" i="10"/>
  <c r="P48" i="10" s="1"/>
  <c r="P51" i="10" s="1"/>
  <c r="P53" i="10" s="1"/>
  <c r="E11" i="16" s="1"/>
  <c r="X38" i="10"/>
  <c r="W46" i="10"/>
  <c r="Q17" i="10"/>
  <c r="D12" i="10"/>
  <c r="C12" i="10"/>
  <c r="F38" i="10"/>
  <c r="E45" i="10"/>
  <c r="AB48" i="10"/>
  <c r="AB51" i="10" s="1"/>
  <c r="AB47" i="10"/>
  <c r="K12" i="10"/>
  <c r="H45" i="10"/>
  <c r="Q13" i="10"/>
  <c r="S13" i="10"/>
  <c r="X13" i="10"/>
  <c r="U46" i="10"/>
  <c r="F52" i="10" l="1"/>
  <c r="F45" i="10"/>
  <c r="F53" i="10"/>
  <c r="C11" i="16" s="1"/>
  <c r="F39" i="10"/>
  <c r="F42" i="10"/>
  <c r="K52" i="10"/>
  <c r="K45" i="10"/>
  <c r="K42" i="10"/>
  <c r="K39" i="10"/>
  <c r="K53" i="10"/>
  <c r="D11" i="16" s="1"/>
  <c r="T53" i="10"/>
  <c r="F11" i="16" s="1"/>
  <c r="T52" i="10"/>
  <c r="T46" i="10"/>
  <c r="T42" i="10"/>
  <c r="Q46" i="10"/>
  <c r="T39" i="10" s="1"/>
  <c r="T13" i="10"/>
  <c r="X52" i="10"/>
  <c r="X46" i="10"/>
  <c r="X42" i="10"/>
  <c r="X39" i="10"/>
  <c r="X53" i="10"/>
  <c r="G11" i="16" s="1"/>
  <c r="T48" i="10" l="1"/>
  <c r="T51" i="10" s="1"/>
  <c r="T47" i="10"/>
  <c r="X48" i="10"/>
  <c r="X51" i="10" s="1"/>
  <c r="X47" i="10"/>
  <c r="K48" i="10"/>
  <c r="K51" i="10" s="1"/>
  <c r="K47" i="10"/>
  <c r="F48" i="10"/>
  <c r="F51" i="10" s="1"/>
  <c r="F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<sst xmlns="http://schemas.openxmlformats.org/spreadsheetml/2006/main" count="570" uniqueCount="509">
  <si>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</si>
  <si>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</si>
  <si>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</si>
  <si>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</si>
  <si>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</si>
  <si>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</si>
  <si>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</si>
  <si>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</si>
  <si>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</si>
  <si>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</si>
  <si>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</si>
  <si>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</si>
  <si>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</si>
  <si>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</si>
  <si>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</si>
  <si>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</si>
  <si>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</si>
  <si>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</si>
  <si>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</si>
  <si>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</si>
  <si>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</si>
  <si>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</si>
  <si>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</si>
  <si>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</si>
  <si>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</si>
  <si>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</si>
  <si>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</si>
  <si>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</si>
  <si>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</si>
  <si>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</si>
  <si>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</si>
  <si>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</si>
  <si>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</si>
  <si>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</si>
  <si>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</si>
  <si>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</si>
  <si>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</si>
  <si>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</si>
  <si>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</si>
  <si>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</si>
  <si>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</si>
  <si>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</si>
  <si>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</si>
  <si>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</si>
  <si>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</si>
  <si>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</si>
  <si>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</si>
  <si>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</si>
  <si>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</si>
  <si>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</si>
  <si>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</si>
  <si>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</si>
  <si>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</si>
  <si>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</si>
  <si>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</si>
  <si>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</si>
  <si>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</si>
  <si>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</si>
  <si>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</si>
  <si>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</si>
  <si>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</si>
  <si>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</si>
  <si>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</si>
  <si>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</si>
  <si>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</si>
  <si>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</si>
  <si>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</si>
  <si>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</si>
  <si>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</si>
  <si>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</si>
  <si>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</si>
  <si>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</si>
  <si>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</si>
  <si>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</si>
  <si>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</si>
  <si>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</si>
  <si>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</si>
  <si>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</si>
  <si>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</si>
  <si>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</si>
  <si>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</si>
  <si>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</si>
  <si>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</si>
  <si>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</si>
  <si>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</si>
  <si>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</si>
  <si>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</si>
  <si>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</si>
  <si>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</si>
  <si>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</si>
  <si>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</si>
  <si>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</si>
  <si>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</si>
  <si>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</si>
  <si>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</si>
  <si>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</si>
  <si>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</si>
  <si>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</si>
  <si>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</si>
  <si>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</si>
  <si>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</si>
  <si>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</si>
  <si>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</si>
  <si>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</si>
  <si>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</si>
  <si>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</si>
  <si>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</si>
  <si>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</si>
  <si>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</si>
  <si>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</si>
  <si>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</si>
  <si>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</si>
  <si>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</si>
  <si>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</si>
  <si>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</si>
  <si>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</si>
  <si>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</si>
  <si>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</si>
  <si>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</si>
  <si>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</si>
  <si>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</si>
  <si>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</si>
  <si>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</si>
  <si>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</si>
  <si>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</si>
  <si>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</si>
  <si>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</si>
  <si>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</si>
  <si>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</si>
  <si>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</si>
  <si>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</si>
  <si>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</si>
  <si>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</si>
  <si>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</si>
  <si>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</si>
  <si>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</si>
  <si>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</si>
  <si>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</si>
  <si>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</si>
  <si>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</si>
  <si>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</si>
  <si>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</si>
  <si>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</si>
  <si>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</si>
  <si>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</si>
  <si>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</si>
  <si>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</si>
  <si>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</si>
  <si>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</si>
  <si>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</si>
  <si>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</si>
  <si>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</si>
  <si>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</si>
  <si>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</si>
  <si>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</si>
  <si>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</si>
  <si>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</si>
  <si>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</si>
  <si>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</si>
  <si>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</si>
  <si>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</si>
  <si>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</si>
  <si>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</si>
  <si>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</si>
  <si>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</si>
  <si>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</si>
  <si>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</si>
  <si>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</si>
  <si>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</si>
  <si>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</si>
  <si>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</si>
  <si>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</si>
  <si>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</si>
  <si>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</si>
  <si>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</si>
  <si>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</si>
  <si>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</si>
  <si>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</si>
  <si>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</si>
  <si>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</si>
  <si>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</si>
  <si>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</si>
  <si>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</si>
  <si>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</si>
  <si>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</si>
  <si>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</si>
  <si>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</si>
  <si>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</si>
  <si>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</si>
  <si>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</si>
  <si>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</si>
  <si>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</si>
  <si>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</si>
  <si>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</si>
  <si>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</si>
  <si>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</si>
  <si>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</si>
  <si>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</si>
  <si>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</si>
  <si>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</si>
  <si>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</si>
  <si>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</si>
  <si>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</si>
  <si>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</si>
  <si>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</si>
  <si>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</si>
  <si>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</si>
  <si>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</si>
  <si>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</si>
  <si>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</si>
  <si>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</si>
  <si>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</si>
  <si>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</si>
  <si>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</si>
  <si>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</si>
  <si>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</si>
  <si>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</si>
  <si>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</si>
  <si>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</si>
  <si>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</si>
  <si>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</si>
  <si>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</si>
  <si>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</si>
  <si>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</si>
  <si>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</si>
  <si>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</si>
  <si>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</si>
  <si>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</si>
  <si>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</si>
  <si>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</si>
  <si>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</si>
  <si>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</si>
  <si>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</si>
  <si>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</si>
  <si>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</si>
  <si>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</si>
  <si>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</si>
  <si>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</si>
  <si>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</si>
  <si>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</si>
  <si>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</si>
  <si>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</si>
  <si>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</si>
  <si>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</si>
  <si>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</si>
  <si>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</si>
  <si>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</si>
  <si>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</si>
  <si>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</si>
  <si>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</si>
  <si>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</si>
  <si>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</si>
  <si>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</si>
  <si>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</si>
  <si>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</si>
  <si>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</si>
  <si>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</si>
  <si>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</si>
  <si>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</si>
  <si>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</si>
  <si>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</si>
  <si>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</si>
  <si>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</si>
  <si>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</si>
  <si>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</si>
  <si>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</si>
  <si>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</si>
  <si>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</si>
  <si>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</si>
  <si>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</si>
  <si>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</si>
  <si>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</si>
  <si>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</si>
  <si>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</si>
  <si>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</si>
  <si>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</si>
  <si>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</si>
  <si>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</si>
  <si>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</si>
  <si>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</si>
  <si>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</si>
  <si>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</si>
  <si>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</si>
  <si>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</si>
  <si>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</si>
  <si>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</si>
  <si>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</si>
  <si>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</si>
  <si>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</si>
  <si>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</si>
  <si>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</si>
  <si>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</si>
  <si>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</si>
  <si>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</si>
  <si>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</si>
  <si>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</si>
  <si>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</si>
  <si>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</si>
  <si>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</si>
  <si>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</si>
  <si>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</si>
  <si>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</si>
  <si>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</si>
  <si>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</si>
  <si>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</si>
  <si>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</si>
  <si>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</si>
  <si>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</si>
  <si>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</si>
  <si>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</si>
  <si>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</si>
  <si>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</si>
  <si>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</si>
  <si>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</si>
  <si>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</si>
  <si>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</si>
  <si>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</si>
  <si>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</si>
  <si>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</si>
  <si>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</si>
  <si>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</si>
  <si>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</si>
  <si>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</si>
  <si>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</si>
  <si>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</si>
  <si>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</si>
  <si>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</si>
  <si>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</si>
  <si>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</si>
  <si>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</si>
  <si>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</si>
  <si>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</si>
  <si>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</si>
  <si>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</si>
  <si>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</si>
  <si>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</si>
  <si>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</si>
  <si>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</si>
  <si>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</si>
  <si>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</si>
  <si>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</si>
  <si>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</si>
  <si>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</si>
  <si>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</si>
  <si>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</si>
  <si>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</si>
  <si>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</si>
  <si>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</si>
  <si>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</si>
  <si>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</si>
  <si>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</si>
  <si>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</si>
  <si>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</si>
  <si>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</si>
  <si>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</si>
  <si>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</si>
  <si>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</si>
  <si>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</si>
  <si>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</si>
  <si>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</si>
  <si>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</si>
  <si>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</si>
  <si>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</si>
  <si>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</si>
  <si>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</si>
  <si>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</si>
  <si>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</si>
  <si>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</si>
  <si>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</si>
  <si>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</si>
  <si>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</si>
  <si>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</si>
  <si>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</si>
  <si>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</si>
  <si>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</si>
  <si>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</si>
  <si>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</si>
  <si>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</si>
  <si>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</si>
  <si>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</si>
  <si>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</si>
  <si>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</si>
  <si>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</si>
  <si>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</si>
  <si>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</si>
  <si>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</si>
  <si>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</si>
  <si>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</si>
  <si>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</si>
  <si>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</si>
  <si>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</si>
  <si>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</si>
  <si>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</si>
  <si>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</si>
  <si>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</si>
  <si>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</si>
  <si>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</si>
  <si>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</si>
  <si>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</si>
  <si>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</si>
  <si>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</si>
  <si>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</si>
  <si>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</si>
  <si>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</si>
  <si>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</si>
  <si>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</si>
  <si>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</si>
  <si>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</si>
  <si>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</si>
  <si>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</si>
  <si>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</si>
  <si>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</si>
  <si>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</si>
  <si>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</si>
  <si>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</si>
  <si>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</si>
  <si>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</si>
  <si>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</si>
  <si>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</si>
  <si>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</si>
  <si>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</si>
  <si>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</si>
  <si>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</si>
  <si>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</si>
  <si>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</si>
  <si>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</si>
  <si>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</si>
  <si>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</si>
  <si>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</si>
  <si>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</si>
  <si>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</si>
  <si>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</si>
  <si>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</si>
  <si>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</si>
  <si>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</si>
  <si>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</si>
  <si>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</si>
  <si>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</si>
  <si>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</si>
  <si>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</si>
  <si>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</si>
  <si>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</si>
  <si>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</si>
  <si>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</si>
  <si>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</si>
  <si>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</si>
  <si>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</si>
  <si>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</si>
  <si>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</si>
  <si>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</si>
  <si>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</si>
  <si>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</si>
  <si>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</si>
  <si>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</si>
  <si>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</si>
  <si>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</si>
  <si>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</si>
  <si>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</si>
  <si>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</si>
  <si>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</si>
  <si>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</si>
  <si>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</si>
  <si>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</si>
  <si>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</si>
  <si>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</si>
  <si>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</si>
  <si>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</si>
  <si>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</si>
  <si>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</si>
  <si>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</si>
  <si>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</si>
  <si>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</si>
  <si>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</si>
  <si>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</si>
  <si>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</si>
  <si>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</si>
  <si>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</si>
  <si>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</si>
  <si>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</si>
  <si>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</si>
  <si>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</si>
  <si>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</si>
  <si>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</si>
  <si>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</si>
  <si>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</si>
  <si>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</si>
  <si>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</si>
  <si>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</si>
  <si>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</si>
  <si>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</si>
  <si>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</si>
  <si>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</si>
  <si>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</si>
  <si>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</si>
  <si>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</si>
  <si>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</si>
  <si>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</si>
  <si>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</si>
  <si>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</si>
  <si>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</si>
  <si>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</si>
  <si>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</si>
  <si>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</si>
  <si>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</si>
  <si>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</si>
  <si>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31744</t>
  </si>
  <si>
    <t>United States Virgin Islands</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</si>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</sst>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507</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506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382067</v>
      </c>
      <c r="K5" s="219">
        <f>SUM('Pt 2 Premium and Claims'!K$5,'Pt 2 Premium and Claims'!K$6,-'Pt 2 Premium and Claims'!K$7,-'Pt 2 Premium and Claims'!K$13,'Pt 2 Premium and Claims'!K$14,'Pt 2 Premium and Claims'!K$16:'Pt 2 Premium and Claims'!K$17)</f>
        <v>364170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161123684</v>
      </c>
      <c r="Q5" s="219">
        <f>SUM('Pt 2 Premium and Claims'!Q$5,'Pt 2 Premium and Claims'!Q$6,-'Pt 2 Premium and Claims'!Q$7,-'Pt 2 Premium and Claims'!Q$13,'Pt 2 Premium and Claims'!Q$14)</f>
        <v>161109067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5883609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11</v>
      </c>
      <c r="K7" s="223">
        <v>11</v>
      </c>
      <c r="L7" s="223"/>
      <c r="M7" s="223"/>
      <c r="N7" s="223"/>
      <c r="O7" s="222"/>
      <c r="P7" s="222">
        <v>4554</v>
      </c>
      <c r="Q7" s="223">
        <v>4554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166</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306698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396315</v>
      </c>
      <c r="K12" s="219">
        <f>'Pt 2 Premium and Claims'!K$54</f>
        <v>380492</v>
      </c>
      <c r="L12" s="219">
        <f>'Pt 2 Premium and Claims'!L$54</f>
        <v>0</v>
      </c>
      <c r="M12" s="219">
        <f>'Pt 2 Premium and Claims'!M$54</f>
        <v>0</v>
      </c>
      <c r="N12" s="219">
        <f>'Pt 2 Premium and Claims'!N$54</f>
        <v>0</v>
      </c>
      <c r="O12" s="218">
        <f>'Pt 2 Premium and Claims'!O$54</f>
        <v>0</v>
      </c>
      <c r="P12" s="218">
        <f>'Pt 2 Premium and Claims'!P$54</f>
        <v>134356803</v>
      </c>
      <c r="Q12" s="219">
        <f>'Pt 2 Premium and Claims'!Q$54</f>
        <v>138525820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5414465</v>
      </c>
      <c r="AU12" s="220">
        <f>'Pt 2 Premium and Claims'!AU$54</f>
        <v>0</v>
      </c>
      <c r="AV12" s="297"/>
      <c r="AW12" s="302"/>
    </row>
    <row r="13" spans="1:49" ht="25.5" x14ac:dyDescent="0.2">
      <c r="B13" s="245" t="s">
        <v>230</v>
      </c>
      <c r="C13" s="209" t="s">
        <v>37</v>
      </c>
      <c r="D13" s="222">
        <v>0</v>
      </c>
      <c r="E13" s="223">
        <v>0</v>
      </c>
      <c r="F13" s="223"/>
      <c r="G13" s="274"/>
      <c r="H13" s="275"/>
      <c r="I13" s="222">
        <v>0</v>
      </c>
      <c r="J13" s="222">
        <v>47701</v>
      </c>
      <c r="K13" s="223">
        <v>47835</v>
      </c>
      <c r="L13" s="223"/>
      <c r="M13" s="274"/>
      <c r="N13" s="275"/>
      <c r="O13" s="222"/>
      <c r="P13" s="222">
        <v>17442067</v>
      </c>
      <c r="Q13" s="223">
        <v>17491994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2558</v>
      </c>
      <c r="K14" s="223">
        <v>3760</v>
      </c>
      <c r="L14" s="223"/>
      <c r="M14" s="273"/>
      <c r="N14" s="276"/>
      <c r="O14" s="222"/>
      <c r="P14" s="222">
        <v>1609165</v>
      </c>
      <c r="Q14" s="223">
        <v>2284143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310946</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203506</v>
      </c>
      <c r="Q15" s="223">
        <v>217468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-476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-13003</v>
      </c>
      <c r="K25" s="223">
        <v>-13003</v>
      </c>
      <c r="L25" s="223"/>
      <c r="M25" s="223"/>
      <c r="N25" s="223"/>
      <c r="O25" s="222"/>
      <c r="P25" s="222">
        <v>4979785</v>
      </c>
      <c r="Q25" s="223">
        <v>4979785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-24070</v>
      </c>
      <c r="AU25" s="226">
        <v>0</v>
      </c>
      <c r="AV25" s="226">
        <v>-525098</v>
      </c>
      <c r="AW25" s="303"/>
    </row>
    <row r="26" spans="1:49" s="11" customFormat="1" x14ac:dyDescent="0.2">
      <c r="A26" s="41"/>
      <c r="B26" s="248" t="s">
        <v>242</v>
      </c>
      <c r="C26" s="209"/>
      <c r="D26" s="222">
        <v>0</v>
      </c>
      <c r="E26" s="223">
        <v>0</v>
      </c>
      <c r="F26" s="223"/>
      <c r="G26" s="223"/>
      <c r="H26" s="223"/>
      <c r="I26" s="222">
        <v>0</v>
      </c>
      <c r="J26" s="222">
        <v>135</v>
      </c>
      <c r="K26" s="223">
        <v>135</v>
      </c>
      <c r="L26" s="223"/>
      <c r="M26" s="223"/>
      <c r="N26" s="223"/>
      <c r="O26" s="222"/>
      <c r="P26" s="222">
        <v>61835</v>
      </c>
      <c r="Q26" s="223">
        <v>61835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6253</v>
      </c>
      <c r="K27" s="223">
        <v>6253</v>
      </c>
      <c r="L27" s="223"/>
      <c r="M27" s="223"/>
      <c r="N27" s="223"/>
      <c r="O27" s="222"/>
      <c r="P27" s="222">
        <v>2902442</v>
      </c>
      <c r="Q27" s="223">
        <v>2902442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165284</v>
      </c>
      <c r="AU27" s="226">
        <v>0</v>
      </c>
      <c r="AV27" s="299"/>
      <c r="AW27" s="303"/>
    </row>
    <row r="28" spans="1:49" s="11" customFormat="1" x14ac:dyDescent="0.2">
      <c r="A28" s="41"/>
      <c r="B28" s="248" t="s">
        <v>244</v>
      </c>
      <c r="C28" s="209"/>
      <c r="D28" s="222">
        <v>0</v>
      </c>
      <c r="E28" s="223">
        <v>0</v>
      </c>
      <c r="F28" s="223"/>
      <c r="G28" s="223"/>
      <c r="H28" s="223"/>
      <c r="I28" s="222">
        <v>0</v>
      </c>
      <c r="J28" s="222">
        <v>874</v>
      </c>
      <c r="K28" s="223">
        <v>874</v>
      </c>
      <c r="L28" s="223"/>
      <c r="M28" s="223"/>
      <c r="N28" s="223"/>
      <c r="O28" s="222"/>
      <c r="P28" s="222">
        <v>405586</v>
      </c>
      <c r="Q28" s="223">
        <v>405586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11307</v>
      </c>
      <c r="AU28" s="226">
        <v>0</v>
      </c>
      <c r="AV28" s="226">
        <v>65760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1187</v>
      </c>
      <c r="K30" s="223">
        <v>1187</v>
      </c>
      <c r="L30" s="223"/>
      <c r="M30" s="223"/>
      <c r="N30" s="223"/>
      <c r="O30" s="222"/>
      <c r="P30" s="222">
        <v>501445</v>
      </c>
      <c r="Q30" s="223">
        <v>501445</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18133</v>
      </c>
      <c r="AU30" s="226">
        <v>0</v>
      </c>
      <c r="AV30" s="226">
        <v>1719</v>
      </c>
      <c r="AW30" s="303"/>
    </row>
    <row r="31" spans="1:49" x14ac:dyDescent="0.2">
      <c r="B31" s="248" t="s">
        <v>247</v>
      </c>
      <c r="C31" s="209"/>
      <c r="D31" s="222">
        <v>0</v>
      </c>
      <c r="E31" s="223">
        <v>0</v>
      </c>
      <c r="F31" s="223"/>
      <c r="G31" s="223"/>
      <c r="H31" s="223"/>
      <c r="I31" s="222">
        <v>0</v>
      </c>
      <c r="J31" s="222">
        <v>6569</v>
      </c>
      <c r="K31" s="223">
        <v>6569</v>
      </c>
      <c r="L31" s="223"/>
      <c r="M31" s="223"/>
      <c r="N31" s="223"/>
      <c r="O31" s="222"/>
      <c r="P31" s="222">
        <v>2770393</v>
      </c>
      <c r="Q31" s="223">
        <v>2770393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101174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49</v>
      </c>
      <c r="K34" s="223">
        <v>49</v>
      </c>
      <c r="L34" s="223"/>
      <c r="M34" s="223"/>
      <c r="N34" s="223"/>
      <c r="O34" s="222"/>
      <c r="P34" s="222">
        <v>28453</v>
      </c>
      <c r="Q34" s="223">
        <v>28453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149</v>
      </c>
      <c r="Q35" s="223">
        <v>149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24</v>
      </c>
      <c r="AU35" s="226">
        <v>0</v>
      </c>
      <c r="AV35" s="226">
        <v>661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232</v>
      </c>
      <c r="K37" s="231">
        <v>232</v>
      </c>
      <c r="L37" s="231"/>
      <c r="M37" s="231"/>
      <c r="N37" s="231"/>
      <c r="O37" s="230"/>
      <c r="P37" s="230">
        <v>114231</v>
      </c>
      <c r="Q37" s="231">
        <v>113638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69012</v>
      </c>
      <c r="AW37" s="302"/>
    </row>
    <row r="38" spans="1:49" x14ac:dyDescent="0.2">
      <c r="B38" s="245" t="s">
        <v>254</v>
      </c>
      <c r="C38" s="209" t="s">
        <v>16</v>
      </c>
      <c r="D38" s="222">
        <v>0</v>
      </c>
      <c r="E38" s="223">
        <v>0</v>
      </c>
      <c r="F38" s="223"/>
      <c r="G38" s="223"/>
      <c r="H38" s="223"/>
      <c r="I38" s="222">
        <v>0</v>
      </c>
      <c r="J38" s="222">
        <v>50</v>
      </c>
      <c r="K38" s="223">
        <v>51</v>
      </c>
      <c r="L38" s="223"/>
      <c r="M38" s="223"/>
      <c r="N38" s="223"/>
      <c r="O38" s="222"/>
      <c r="P38" s="222">
        <v>26123</v>
      </c>
      <c r="Q38" s="223">
        <v>25262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9870</v>
      </c>
      <c r="AW38" s="303"/>
    </row>
    <row r="39" spans="1:49" x14ac:dyDescent="0.2">
      <c r="B39" s="248" t="s">
        <v>255</v>
      </c>
      <c r="C39" s="209" t="s">
        <v>17</v>
      </c>
      <c r="D39" s="222">
        <v>0</v>
      </c>
      <c r="E39" s="223">
        <v>0</v>
      </c>
      <c r="F39" s="223"/>
      <c r="G39" s="223"/>
      <c r="H39" s="223"/>
      <c r="I39" s="222">
        <v>0</v>
      </c>
      <c r="J39" s="222">
        <v>-3</v>
      </c>
      <c r="K39" s="223">
        <v>-6</v>
      </c>
      <c r="L39" s="223"/>
      <c r="M39" s="223"/>
      <c r="N39" s="223"/>
      <c r="O39" s="222"/>
      <c r="P39" s="222">
        <v>11204</v>
      </c>
      <c r="Q39" s="223">
        <v>10184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v>
      </c>
      <c r="AU39" s="226">
        <v>0</v>
      </c>
      <c r="AV39" s="226">
        <v>1679</v>
      </c>
      <c r="AW39" s="303"/>
    </row>
    <row r="40" spans="1:49" x14ac:dyDescent="0.2">
      <c r="B40" s="248" t="s">
        <v>256</v>
      </c>
      <c r="C40" s="209" t="s">
        <v>38</v>
      </c>
      <c r="D40" s="222">
        <v>0</v>
      </c>
      <c r="E40" s="223">
        <v>0</v>
      </c>
      <c r="F40" s="223"/>
      <c r="G40" s="223"/>
      <c r="H40" s="223"/>
      <c r="I40" s="222">
        <v>0</v>
      </c>
      <c r="J40" s="222">
        <v>5</v>
      </c>
      <c r="K40" s="223">
        <v>5</v>
      </c>
      <c r="L40" s="223"/>
      <c r="M40" s="223"/>
      <c r="N40" s="223"/>
      <c r="O40" s="222"/>
      <c r="P40" s="222">
        <v>3657</v>
      </c>
      <c r="Q40" s="223">
        <v>2717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v>
      </c>
      <c r="AU40" s="226">
        <v>0</v>
      </c>
      <c r="AV40" s="226">
        <v>10811</v>
      </c>
      <c r="AW40" s="303"/>
    </row>
    <row r="41" spans="1:49" s="11" customFormat="1" ht="25.5" x14ac:dyDescent="0.2">
      <c r="A41" s="41"/>
      <c r="B41" s="248" t="s">
        <v>257</v>
      </c>
      <c r="C41" s="209" t="s">
        <v>129</v>
      </c>
      <c r="D41" s="222">
        <v>0</v>
      </c>
      <c r="E41" s="223">
        <v>0</v>
      </c>
      <c r="F41" s="223"/>
      <c r="G41" s="223"/>
      <c r="H41" s="223"/>
      <c r="I41" s="222">
        <v>0</v>
      </c>
      <c r="J41" s="222">
        <v>123</v>
      </c>
      <c r="K41" s="223">
        <v>123</v>
      </c>
      <c r="L41" s="223"/>
      <c r="M41" s="223"/>
      <c r="N41" s="223"/>
      <c r="O41" s="222"/>
      <c r="P41" s="222">
        <v>58602</v>
      </c>
      <c r="Q41" s="223">
        <v>57684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452</v>
      </c>
      <c r="AU41" s="226">
        <v>0</v>
      </c>
      <c r="AV41" s="226">
        <v>30656</v>
      </c>
      <c r="AW41" s="303"/>
    </row>
    <row r="42" spans="1:49" s="11" customFormat="1" ht="24.95" customHeight="1" x14ac:dyDescent="0.2">
      <c r="A42" s="41"/>
      <c r="B42" s="245" t="s">
        <v>258</v>
      </c>
      <c r="C42" s="209" t="s">
        <v>87</v>
      </c>
      <c r="D42" s="222">
        <v>0</v>
      </c>
      <c r="E42" s="223">
        <v>0</v>
      </c>
      <c r="F42" s="223"/>
      <c r="G42" s="223"/>
      <c r="H42" s="223"/>
      <c r="I42" s="222">
        <v>0</v>
      </c>
      <c r="J42" s="222">
        <v>13</v>
      </c>
      <c r="K42" s="223">
        <v>13</v>
      </c>
      <c r="L42" s="223"/>
      <c r="M42" s="223"/>
      <c r="N42" s="223"/>
      <c r="O42" s="222"/>
      <c r="P42" s="222">
        <v>6218</v>
      </c>
      <c r="Q42" s="223">
        <v>6218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1251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1699</v>
      </c>
      <c r="K44" s="231">
        <v>1717</v>
      </c>
      <c r="L44" s="231"/>
      <c r="M44" s="231"/>
      <c r="N44" s="231"/>
      <c r="O44" s="230"/>
      <c r="P44" s="230">
        <v>976224</v>
      </c>
      <c r="Q44" s="231">
        <v>987830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301</v>
      </c>
      <c r="AU44" s="232">
        <v>0</v>
      </c>
      <c r="AV44" s="232">
        <v>343142</v>
      </c>
      <c r="AW44" s="302"/>
    </row>
    <row r="45" spans="1:49" x14ac:dyDescent="0.2">
      <c r="B45" s="251" t="s">
        <v>261</v>
      </c>
      <c r="C45" s="209" t="s">
        <v>19</v>
      </c>
      <c r="D45" s="222">
        <v>0</v>
      </c>
      <c r="E45" s="223">
        <v>0</v>
      </c>
      <c r="F45" s="223"/>
      <c r="G45" s="223"/>
      <c r="H45" s="223"/>
      <c r="I45" s="222">
        <v>0</v>
      </c>
      <c r="J45" s="222">
        <v>64</v>
      </c>
      <c r="K45" s="223">
        <v>64</v>
      </c>
      <c r="L45" s="223"/>
      <c r="M45" s="223"/>
      <c r="N45" s="223"/>
      <c r="O45" s="222"/>
      <c r="P45" s="222">
        <v>29569</v>
      </c>
      <c r="Q45" s="223">
        <v>29569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338</v>
      </c>
      <c r="AU45" s="226">
        <v>0</v>
      </c>
      <c r="AV45" s="226">
        <v>-298</v>
      </c>
      <c r="AW45" s="303"/>
    </row>
    <row r="46" spans="1:49" x14ac:dyDescent="0.2">
      <c r="B46" s="251" t="s">
        <v>262</v>
      </c>
      <c r="C46" s="209" t="s">
        <v>20</v>
      </c>
      <c r="D46" s="222">
        <v>0</v>
      </c>
      <c r="E46" s="223">
        <v>0</v>
      </c>
      <c r="F46" s="223"/>
      <c r="G46" s="223"/>
      <c r="H46" s="223"/>
      <c r="I46" s="222">
        <v>0</v>
      </c>
      <c r="J46" s="222">
        <v>1853</v>
      </c>
      <c r="K46" s="223">
        <v>1853</v>
      </c>
      <c r="L46" s="223"/>
      <c r="M46" s="223"/>
      <c r="N46" s="223"/>
      <c r="O46" s="222"/>
      <c r="P46" s="222">
        <v>860124</v>
      </c>
      <c r="Q46" s="223">
        <v>860124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17094</v>
      </c>
      <c r="AU46" s="226">
        <v>0</v>
      </c>
      <c r="AV46" s="226">
        <v>109920</v>
      </c>
      <c r="AW46" s="303"/>
    </row>
    <row r="47" spans="1:49" x14ac:dyDescent="0.2">
      <c r="B47" s="251" t="s">
        <v>263</v>
      </c>
      <c r="C47" s="209" t="s">
        <v>21</v>
      </c>
      <c r="D47" s="222">
        <v>0</v>
      </c>
      <c r="E47" s="223">
        <v>0</v>
      </c>
      <c r="F47" s="223"/>
      <c r="G47" s="223"/>
      <c r="H47" s="223"/>
      <c r="I47" s="222">
        <v>0</v>
      </c>
      <c r="J47" s="222">
        <v>8505</v>
      </c>
      <c r="K47" s="223">
        <v>8505</v>
      </c>
      <c r="L47" s="223"/>
      <c r="M47" s="223"/>
      <c r="N47" s="223"/>
      <c r="O47" s="222"/>
      <c r="P47" s="222">
        <v>3586980</v>
      </c>
      <c r="Q47" s="223">
        <v>3586980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130995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83</v>
      </c>
      <c r="AW50" s="303"/>
    </row>
    <row r="51" spans="2:49" x14ac:dyDescent="0.2">
      <c r="B51" s="245" t="s">
        <v>266</v>
      </c>
      <c r="C51" s="209"/>
      <c r="D51" s="222">
        <v>0</v>
      </c>
      <c r="E51" s="223">
        <v>0</v>
      </c>
      <c r="F51" s="223"/>
      <c r="G51" s="223"/>
      <c r="H51" s="223"/>
      <c r="I51" s="222">
        <v>0</v>
      </c>
      <c r="J51" s="222">
        <v>4346</v>
      </c>
      <c r="K51" s="223">
        <v>4346</v>
      </c>
      <c r="L51" s="223"/>
      <c r="M51" s="223"/>
      <c r="N51" s="223"/>
      <c r="O51" s="222"/>
      <c r="P51" s="222">
        <v>2017130</v>
      </c>
      <c r="Q51" s="223">
        <v>2017130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563701</v>
      </c>
      <c r="AU51" s="226">
        <v>0</v>
      </c>
      <c r="AV51" s="226">
        <v>1775270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21</v>
      </c>
      <c r="K53" s="223">
        <v>21</v>
      </c>
      <c r="L53" s="223"/>
      <c r="M53" s="274"/>
      <c r="N53" s="274"/>
      <c r="O53" s="222">
        <v>0</v>
      </c>
      <c r="P53" s="222">
        <v>9768</v>
      </c>
      <c r="Q53" s="223">
        <v>9768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4281</v>
      </c>
      <c r="AU53" s="226">
        <v>0</v>
      </c>
      <c r="AV53" s="226">
        <v>3685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806717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17</v>
      </c>
      <c r="K56" s="235">
        <v>17</v>
      </c>
      <c r="L56" s="235"/>
      <c r="M56" s="235"/>
      <c r="N56" s="235"/>
      <c r="O56" s="234"/>
      <c r="P56" s="234">
        <v>13058</v>
      </c>
      <c r="Q56" s="235">
        <v>13058</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17515</v>
      </c>
      <c r="AU56" s="236">
        <v>0</v>
      </c>
      <c r="AV56" s="236">
        <v>22869</v>
      </c>
      <c r="AW56" s="294"/>
    </row>
    <row r="57" spans="2:49" x14ac:dyDescent="0.2">
      <c r="B57" s="251" t="s">
        <v>272</v>
      </c>
      <c r="C57" s="209" t="s">
        <v>25</v>
      </c>
      <c r="D57" s="237">
        <v>0</v>
      </c>
      <c r="E57" s="238">
        <v>0</v>
      </c>
      <c r="F57" s="238"/>
      <c r="G57" s="238"/>
      <c r="H57" s="238"/>
      <c r="I57" s="237">
        <v>0</v>
      </c>
      <c r="J57" s="237">
        <v>39</v>
      </c>
      <c r="K57" s="238">
        <v>39</v>
      </c>
      <c r="L57" s="238"/>
      <c r="M57" s="238"/>
      <c r="N57" s="238"/>
      <c r="O57" s="237"/>
      <c r="P57" s="237">
        <v>28443</v>
      </c>
      <c r="Q57" s="238">
        <v>28443</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34265</v>
      </c>
      <c r="AU57" s="239">
        <v>0</v>
      </c>
      <c r="AV57" s="239">
        <v>23842</v>
      </c>
      <c r="AW57" s="295"/>
    </row>
    <row r="58" spans="2:49" x14ac:dyDescent="0.2">
      <c r="B58" s="251" t="s">
        <v>273</v>
      </c>
      <c r="C58" s="209" t="s">
        <v>26</v>
      </c>
      <c r="D58" s="315"/>
      <c r="E58" s="316"/>
      <c r="F58" s="316"/>
      <c r="G58" s="316"/>
      <c r="H58" s="316"/>
      <c r="I58" s="315"/>
      <c r="J58" s="237">
        <v>1</v>
      </c>
      <c r="K58" s="238">
        <v>1</v>
      </c>
      <c r="L58" s="238"/>
      <c r="M58" s="238"/>
      <c r="N58" s="238"/>
      <c r="O58" s="237"/>
      <c r="P58" s="237">
        <v>9</v>
      </c>
      <c r="Q58" s="238">
        <v>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7</v>
      </c>
      <c r="AU58" s="239">
        <v>0</v>
      </c>
      <c r="AV58" s="239">
        <v>5</v>
      </c>
      <c r="AW58" s="295"/>
    </row>
    <row r="59" spans="2:49" x14ac:dyDescent="0.2">
      <c r="B59" s="251" t="s">
        <v>274</v>
      </c>
      <c r="C59" s="209" t="s">
        <v>27</v>
      </c>
      <c r="D59" s="237">
        <v>0</v>
      </c>
      <c r="E59" s="238">
        <v>0</v>
      </c>
      <c r="F59" s="238"/>
      <c r="G59" s="238"/>
      <c r="H59" s="238"/>
      <c r="I59" s="237">
        <v>0</v>
      </c>
      <c r="J59" s="237">
        <v>742</v>
      </c>
      <c r="K59" s="238">
        <v>742</v>
      </c>
      <c r="L59" s="238"/>
      <c r="M59" s="238"/>
      <c r="N59" s="238"/>
      <c r="O59" s="237"/>
      <c r="P59" s="237">
        <v>344425</v>
      </c>
      <c r="Q59" s="238">
        <v>344425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415337</v>
      </c>
      <c r="AU59" s="239">
        <v>0</v>
      </c>
      <c r="AV59" s="239">
        <v>236189</v>
      </c>
      <c r="AW59" s="295"/>
    </row>
    <row r="60" spans="2:49" x14ac:dyDescent="0.2">
      <c r="B60" s="251" t="s">
        <v>275</v>
      </c>
      <c r="C60" s="209"/>
      <c r="D60" s="240">
        <f>D$59/12</f>
        <v>0</v>
      </c>
      <c r="E60" s="241">
        <f>E$59/12</f>
        <v>0</v>
      </c>
      <c r="F60" s="241">
        <f>F$59/12</f>
        <v>0</v>
      </c>
      <c r="G60" s="241">
        <f>G$59/12</f>
        <v>0</v>
      </c>
      <c r="H60" s="241">
        <f>H$59/12</f>
        <v>0</v>
      </c>
      <c r="I60" s="240">
        <f>I$59/12</f>
        <v>0</v>
      </c>
      <c r="J60" s="240">
        <f>J$59/12</f>
        <v>61.833333333333336</v>
      </c>
      <c r="K60" s="241">
        <f>K$59/12</f>
        <v>61.833333333333336</v>
      </c>
      <c r="L60" s="241">
        <f>L$59/12</f>
        <v>0</v>
      </c>
      <c r="M60" s="241">
        <f>M$59/12</f>
        <v>0</v>
      </c>
      <c r="N60" s="241">
        <f>N$59/12</f>
        <v>0</v>
      </c>
      <c r="O60" s="240">
        <f>O$59/12</f>
        <v>0</v>
      </c>
      <c r="P60" s="240">
        <f>P$59/12</f>
        <v>28702.083333333332</v>
      </c>
      <c r="Q60" s="241">
        <f>Q$59/12</f>
        <v>28702.083333333332</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34611.416666666664</v>
      </c>
      <c r="AU60" s="242">
        <f>AU$59/12</f>
        <v>0</v>
      </c>
      <c r="AV60" s="242">
        <f>AV$59/12</f>
        <v>19682.416666666668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1507929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496921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382067</v>
      </c>
      <c r="K5" s="332">
        <v>364170</v>
      </c>
      <c r="L5" s="332"/>
      <c r="M5" s="332"/>
      <c r="N5" s="332"/>
      <c r="O5" s="331"/>
      <c r="P5" s="331">
        <v>161504693</v>
      </c>
      <c r="Q5" s="332">
        <v>161162626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5883187</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27832</v>
      </c>
      <c r="Q6" s="325">
        <v>27832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616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31698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372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6398403</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6398403</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24459006</v>
      </c>
      <c r="Q11" s="325">
        <v>194913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24213457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377143</v>
      </c>
      <c r="Q13" s="325">
        <v>81391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-178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376439</v>
      </c>
      <c r="K23" s="368"/>
      <c r="L23" s="368"/>
      <c r="M23" s="368"/>
      <c r="N23" s="368"/>
      <c r="O23" s="370"/>
      <c r="P23" s="324">
        <v>128175916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5399830</v>
      </c>
      <c r="AU23" s="327">
        <v>0</v>
      </c>
      <c r="AV23" s="374"/>
      <c r="AW23" s="380"/>
    </row>
    <row r="24" spans="2:49" ht="28.5" customHeight="1" x14ac:dyDescent="0.2">
      <c r="B24" s="351" t="s">
        <v>114</v>
      </c>
      <c r="C24" s="337"/>
      <c r="D24" s="371"/>
      <c r="E24" s="325">
        <v>0</v>
      </c>
      <c r="F24" s="325"/>
      <c r="G24" s="325"/>
      <c r="H24" s="325"/>
      <c r="I24" s="324">
        <v>0</v>
      </c>
      <c r="J24" s="371"/>
      <c r="K24" s="325">
        <v>374446</v>
      </c>
      <c r="L24" s="325"/>
      <c r="M24" s="325"/>
      <c r="N24" s="325"/>
      <c r="O24" s="324"/>
      <c r="P24" s="371"/>
      <c r="Q24" s="325">
        <v>130911011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31561</v>
      </c>
      <c r="K26" s="368"/>
      <c r="L26" s="368"/>
      <c r="M26" s="368"/>
      <c r="N26" s="368"/>
      <c r="O26" s="370"/>
      <c r="P26" s="324">
        <v>10215417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353103</v>
      </c>
      <c r="AU26" s="327">
        <v>0</v>
      </c>
      <c r="AV26" s="374"/>
      <c r="AW26" s="380"/>
    </row>
    <row r="27" spans="2:49" s="11" customFormat="1" ht="25.5" x14ac:dyDescent="0.2">
      <c r="B27" s="351" t="s">
        <v>85</v>
      </c>
      <c r="C27" s="337"/>
      <c r="D27" s="371"/>
      <c r="E27" s="325">
        <v>0</v>
      </c>
      <c r="F27" s="325"/>
      <c r="G27" s="325"/>
      <c r="H27" s="325"/>
      <c r="I27" s="324">
        <v>0</v>
      </c>
      <c r="J27" s="371"/>
      <c r="K27" s="325">
        <v>5878</v>
      </c>
      <c r="L27" s="325"/>
      <c r="M27" s="325"/>
      <c r="N27" s="325"/>
      <c r="O27" s="324"/>
      <c r="P27" s="371"/>
      <c r="Q27" s="325">
        <v>998528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13152</v>
      </c>
      <c r="K28" s="369"/>
      <c r="L28" s="369"/>
      <c r="M28" s="369"/>
      <c r="N28" s="369"/>
      <c r="O28" s="371"/>
      <c r="P28" s="324">
        <v>10822893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338468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281</v>
      </c>
      <c r="K34" s="368"/>
      <c r="L34" s="368"/>
      <c r="M34" s="368"/>
      <c r="N34" s="368"/>
      <c r="O34" s="370"/>
      <c r="P34" s="324">
        <v>83462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281</v>
      </c>
      <c r="L35" s="325"/>
      <c r="M35" s="325"/>
      <c r="N35" s="325"/>
      <c r="O35" s="324"/>
      <c r="P35" s="371"/>
      <c r="Q35" s="325">
        <v>83462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114</v>
      </c>
      <c r="K36" s="325">
        <v>114</v>
      </c>
      <c r="L36" s="325"/>
      <c r="M36" s="325"/>
      <c r="N36" s="325"/>
      <c r="O36" s="324"/>
      <c r="P36" s="324">
        <v>87734</v>
      </c>
      <c r="Q36" s="325">
        <v>87734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6398403</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6398403</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24459006</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194913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24213457</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11</v>
      </c>
      <c r="K45" s="325">
        <v>1</v>
      </c>
      <c r="L45" s="325"/>
      <c r="M45" s="325"/>
      <c r="N45" s="325"/>
      <c r="O45" s="324"/>
      <c r="P45" s="324">
        <v>25692</v>
      </c>
      <c r="Q45" s="325">
        <v>27871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149</v>
      </c>
      <c r="K49" s="325">
        <v>0</v>
      </c>
      <c r="L49" s="325"/>
      <c r="M49" s="325"/>
      <c r="N49" s="325"/>
      <c r="O49" s="324"/>
      <c r="P49" s="324">
        <v>525208</v>
      </c>
      <c r="Q49" s="325">
        <v>634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1438</v>
      </c>
      <c r="K50" s="369"/>
      <c r="L50" s="369"/>
      <c r="M50" s="369"/>
      <c r="N50" s="369"/>
      <c r="O50" s="371"/>
      <c r="P50" s="324">
        <v>648199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396315</v>
      </c>
      <c r="K54" s="329">
        <f>K24+K27+K31+K35-K36+K39+K42+K45+K46-K49+K51+K52+K53</f>
        <v>380492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134356803</v>
      </c>
      <c r="Q54" s="329">
        <f>Q24+Q27+Q31+Q35-Q36+Q39+Q42+Q45+Q46-Q49+Q51+Q52+Q53</f>
        <v>138525820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5414465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5737543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3642732</v>
      </c>
      <c r="I6" s="404">
        <v>190984</v>
      </c>
      <c r="J6" s="406">
        <f>SUM('Pt 1 Summary of Data'!K$12,'Pt 1 Summary of Data'!K$22)+SUM('Pt 1 Summary of Data'!M$12,'Pt 1 Summary of Data'!M$22)-SUM('Pt 1 Summary of Data'!N$12,'Pt 1 Summary of Data'!N$22)</f>
        <v>380492</v>
      </c>
      <c r="K6" s="406">
        <f>SUM(H6:J6)</f>
        <v>4214208</v>
      </c>
      <c r="L6" s="407">
        <f>SUM('Pt 1 Summary of Data'!O$12,'Pt 1 Summary of Data'!O$22)</f>
        <v>0</v>
      </c>
      <c r="M6" s="403">
        <v>136915180</v>
      </c>
      <c r="N6" s="404">
        <v>132748333</v>
      </c>
      <c r="O6" s="406">
        <f>SUM('Pt 1 Summary of Data'!Q$12,'Pt 1 Summary of Data'!Q$22)+SUM('Pt 1 Summary of Data'!S$12,'Pt 1 Summary of Data'!S$22)-SUM('Pt 1 Summary of Data'!T$12,'Pt 1 Summary of Data'!T$22)</f>
        <v>138525820</v>
      </c>
      <c r="P6" s="406">
        <f>SUM(M6:O6)</f>
        <v>408189333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12544</v>
      </c>
      <c r="I7" s="404">
        <v>213</v>
      </c>
      <c r="J7" s="406">
        <f>SUM('Pt 1 Summary of Data'!K$37:K$41)+SUM('Pt 1 Summary of Data'!M$37:M$41)-SUM('Pt 1 Summary of Data'!N$37:N$41)+MAX(0,MIN('Pt 1 Summary of Data'!K$42+'Pt 1 Summary of Data'!M$42-'Pt 1 Summary of Data'!N$42,0.3%*('Pt 1 Summary of Data'!K$5+'Pt 1 Summary of Data'!M$5-'Pt 1 Summary of Data'!N$5-SUM(J$10:J$11))))</f>
        <v>418</v>
      </c>
      <c r="K7" s="406">
        <f>SUM(H7:J7)</f>
        <v>13175</v>
      </c>
      <c r="L7" s="407">
        <f>SUM('Pt 1 Summary of Data'!O$37:O$41)+MAX(0,MIN(VALUE('Pt 1 Summary of Data'!O$42),0.3%*('Pt 1 Summary of Data'!O$5-L$10)))</f>
        <v>0</v>
      </c>
      <c r="M7" s="403">
        <v>367911</v>
      </c>
      <c r="N7" s="404">
        <v>181105</v>
      </c>
      <c r="O7" s="406">
        <f>SUM('Pt 1 Summary of Data'!Q$37:Q$41)+SUM('Pt 1 Summary of Data'!S$37:S$41)-SUM('Pt 1 Summary of Data'!T$37:T$41)+MAX(0,MIN('Pt 1 Summary of Data'!Q$42+'Pt 1 Summary of Data'!S$42-'Pt 1 Summary of Data'!T$42,0.3%*('Pt 1 Summary of Data'!Q$5+'Pt 1 Summary of Data'!S$5-'Pt 1 Summary of Data'!T$5)))</f>
        <v>215703</v>
      </c>
      <c r="P7" s="406">
        <f>SUM(M7:O7)</f>
        <v>764719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3655276</v>
      </c>
      <c r="I12" s="406">
        <f>SUM(I$6:I$7) - SUM(I$10:I$11)+IF(AND(OR('Company Information'!$C$12="District of Columbia",'Company Information'!$C$12="Massachusetts",'Company Information'!$C$12="Vermont"),SUM($H$6:$K$11,$H$15:$K$16,$H$38:$I$38)&lt;&gt;0),SUM(D$6:D$7) - SUM(D$8:D$11),0)</f>
        <v>191197</v>
      </c>
      <c r="J12" s="406">
        <f>SUM(J$6:J$7)-SUM(J$10:J$11)+IF(AND(OR('Company Information'!$C$12="District of Columbia",'Company Information'!$C$12="Massachusetts",'Company Information'!$C$12="Vermont"),SUM($H$6:$K$11,$H$15:$K$16,$H$38:$I$38)&lt;&gt;0),SUM(E$6:E$7)-SUM(E$8:E$11),0)</f>
        <v>380910</v>
      </c>
      <c r="K12" s="406">
        <f>IFERROR(SUM(H$12:J$12)+H$17*MAX(0,J$50-H$50)+I$17*MAX(0,J$50-I$50),0)</f>
        <v>4227383</v>
      </c>
      <c r="L12" s="453"/>
      <c r="M12" s="405">
        <f>SUM(M$6:M$7)</f>
        <v>137283091</v>
      </c>
      <c r="N12" s="406">
        <f>SUM(N$6:N$7)</f>
        <v>132929438</v>
      </c>
      <c r="O12" s="406">
        <f>SUM(O$6:O$7)</f>
        <v>138741523</v>
      </c>
      <c r="P12" s="406">
        <f>SUM(M$12:O$12)+M$17*MAX(0,O$50-M$50)+N$17*MAX(0,O$50-N$50)</f>
        <v>408954052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2940537</v>
      </c>
      <c r="I15" s="409">
        <v>165927</v>
      </c>
      <c r="J15" s="401">
        <f>SUM('Pt 1 Summary of Data'!K$5:K$7)+SUM('Pt 1 Summary of Data'!M$5:M$7)-SUM('Pt 1 Summary of Data'!N$5:N$7)-SUM(J$10:J$11)</f>
        <v>364181</v>
      </c>
      <c r="K15" s="401">
        <f>SUM(H15:J15)</f>
        <v>3470645</v>
      </c>
      <c r="L15" s="402">
        <f>SUM('Pt 1 Summary of Data'!O$5:O$7)-L$10</f>
        <v>0</v>
      </c>
      <c r="M15" s="408">
        <v>152963814</v>
      </c>
      <c r="N15" s="409">
        <v>160339001</v>
      </c>
      <c r="O15" s="401">
        <f>SUM('Pt 1 Summary of Data'!Q$5:Q$7)+SUM('Pt 1 Summary of Data'!S$5:S$7)-SUM('Pt 1 Summary of Data'!T$5:T$7)+N$56</f>
        <v>161113621</v>
      </c>
      <c r="P15" s="401">
        <f>SUM(M15:O15)</f>
        <v>474416436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-371280</v>
      </c>
      <c r="I16" s="404">
        <v>-767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2064</v>
      </c>
      <c r="K16" s="406">
        <f>SUM(H16:J16)</f>
        <v>-369983</v>
      </c>
      <c r="L16" s="407">
        <f>SUM('Pt 1 Summary of Data'!O$25:O$28,'Pt 1 Summary of Data'!O$30,'Pt 1 Summary of Data'!O$34:O$35)+IF('Company Information'!$C$15="No",IF(MAX('Pt 1 Summary of Data'!O$31:O$32)=0,MIN('Pt 1 Summary of Data'!O$31:O$32),MAX('Pt 1 Summary of Data'!O$31:O$32)),SUM('Pt 1 Summary of Data'!O$31:O$32))</f>
        <v>0</v>
      </c>
      <c r="M16" s="403">
        <v>5798443</v>
      </c>
      <c r="N16" s="404">
        <v>11315523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11650088</v>
      </c>
      <c r="P16" s="406">
        <f>SUM(M16:O16)</f>
        <v>28764054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3311817</v>
      </c>
      <c r="I17" s="406">
        <f>I$15-I$16+IF(AND(OR('Company Information'!$C$12="District of Columbia",'Company Information'!$C$12="Massachusetts",'Company Information'!$C$12="Vermont"),SUM($H$6:$K$11,$H$15:$K$16,$H$38:$I$38)&lt;&gt;0),D$15-D$16,0)</f>
        <v>166694</v>
      </c>
      <c r="J17" s="406">
        <f>J$15-J$16+IF(AND(OR('Company Information'!$C$12="District of Columbia",'Company Information'!$C$12="Massachusetts",'Company Information'!$C$12="Vermont"),SUM($H$6:$K$11,$H$15:$K$16,$H$38:$I$38)&lt;&gt;0),E$15-E$16,0)</f>
        <v>362117</v>
      </c>
      <c r="K17" s="406">
        <f>K$15-K$16+IF(AND(OR('Company Information'!$C$12="District of Columbia",'Company Information'!$C$12="Massachusetts",'Company Information'!$C$12="Vermont"),SUM($H$6:$K$11,$H$15:$K$16,$H$38:$I$38)&lt;&gt;0),F$15-F$16,0)</f>
        <v>3840628</v>
      </c>
      <c r="L17" s="456"/>
      <c r="M17" s="405">
        <f>M$15-M$16</f>
        <v>147165371</v>
      </c>
      <c r="N17" s="406">
        <f>N$15-N$16</f>
        <v>149023478</v>
      </c>
      <c r="O17" s="406">
        <f>O$15-O$16</f>
        <v>149463533</v>
      </c>
      <c r="P17" s="406">
        <f>P$15-P$16</f>
        <v>445652382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576.41669999999999</v>
      </c>
      <c r="I38" s="411">
        <v>40.333300000000001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61.833333333333336</v>
      </c>
      <c r="K38" s="438">
        <f>SUM(H$38:J$38)+IF(AND(OR('Company Information'!$C$12="District of Columbia",'Company Information'!$C$12="Massachusetts",'Company Information'!$C$12="Vermont"),SUM($H$6:$K$11,$H$15:$K$16,$H$38:$I$38)&lt;&gt;0,SUM(H$38:I$38)&lt;&gt;SUM(C$38:D$38)),SUM(C$38:D$38),0)</f>
        <v>678.58333333333337</v>
      </c>
      <c r="L38" s="454"/>
      <c r="M38" s="410">
        <v>35993.5</v>
      </c>
      <c r="N38" s="411">
        <v>30417.5</v>
      </c>
      <c r="O38" s="438">
        <f>('Pt 1 Summary of Data'!Q$59+'Pt 1 Summary of Data'!S$59-'Pt 1 Summary of Data'!T$59)/12</f>
        <v>28702.083333333332</v>
      </c>
      <c r="P38" s="438">
        <f>SUM(M$38:O$38)</f>
        <v>95113.083333333328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0.9328491483230793</v>
      </c>
      <c r="N45" s="442">
        <f>IF(OR(N$38&lt;1000,N$17&lt;=0),"",N$12/N$17)</f>
        <v>0.89200332581152075</v>
      </c>
      <c r="O45" s="442">
        <f>IF(OR(O$38&lt;1000,O$17&lt;=0),"",O$12/O$17)</f>
        <v>0.92826337110604762</v>
      </c>
      <c r="P45" s="442">
        <f>IF(OR(P$38&lt;1000,P$17&lt;=0),"",P$12/P$17)</f>
        <v>0.91765256625510416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IF(P$45="","",ROUND(P$45+MAX(0,P$47),3))</f>
        <v>0.91800000000000004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P$48</f>
        <v>0.91800000000000004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149463533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9543</v>
      </c>
      <c r="I56" s="447"/>
      <c r="J56" s="447"/>
      <c r="K56" s="447"/>
      <c r="L56" s="453"/>
      <c r="M56" s="403">
        <v>1039732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3495</v>
      </c>
      <c r="I57" s="447"/>
      <c r="J57" s="447"/>
      <c r="K57" s="447"/>
      <c r="L57" s="453"/>
      <c r="M57" s="403">
        <v>388933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17</v>
      </c>
      <c r="E4" s="110">
        <f>'Pt 1 Summary of Data'!$Q$56+'Pt 1 Summary of Data'!$S$56-'Pt 1 Summary of Data'!$T$56</f>
        <v>13058</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508</v>
      </c>
      <c r="D23" s="5"/>
      <c r="E23" s="5"/>
      <c r="F23" s="5"/>
      <c r="G23" s="5"/>
      <c r="H23" s="5"/>
      <c r="I23" s="5"/>
      <c r="J23" s="5"/>
      <c r="K23" s="4"/>
    </row>
    <row r="24" spans="2:12" s="11" customFormat="1" ht="100.15" customHeight="1" x14ac:dyDescent="0.2">
      <c r="B24" s="96" t="s">
        <v>213</v>
      </c>
      <c r="C24" s="3" t="s">
        <v>508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