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L15" i="10" s="1"/>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L20"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22" i="4" s="1"/>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5" i="4"/>
  <c r="E7" i="10" s="1"/>
  <c r="F7" i="10" s="1"/>
  <c r="D60" i="4"/>
  <c r="D22" i="4"/>
  <c r="D12" i="4"/>
  <c r="D5" i="4"/>
  <c r="G20" i="10" l="1"/>
  <c r="K6" i="10"/>
  <c r="H17" i="10" s="1"/>
  <c r="T6" i="10"/>
  <c r="K15" i="10"/>
  <c r="AB6" i="10"/>
  <c r="AA13" i="10"/>
  <c r="F6" i="10"/>
  <c r="P6" i="10"/>
  <c r="X6" i="10"/>
  <c r="V17" i="10" s="1"/>
  <c r="V46" i="10" s="1"/>
  <c r="L32" i="10"/>
  <c r="L24" i="10"/>
  <c r="L27" i="10"/>
  <c r="L23" i="10"/>
  <c r="L22" i="10"/>
  <c r="AB42" i="10"/>
  <c r="AB52" i="10"/>
  <c r="G32" i="10"/>
  <c r="G27" i="10"/>
  <c r="G23" i="10"/>
  <c r="P15" i="10"/>
  <c r="P17" i="10" s="1"/>
  <c r="O17" i="10"/>
  <c r="X15" i="10"/>
  <c r="AB13" i="10"/>
  <c r="E15" i="10"/>
  <c r="J7" i="10"/>
  <c r="K7" i="10" s="1"/>
  <c r="L19" i="10"/>
  <c r="O7" i="10"/>
  <c r="P7" i="10" s="1"/>
  <c r="S15" i="10"/>
  <c r="W7" i="10"/>
  <c r="X7" i="10" s="1"/>
  <c r="AA15" i="10"/>
  <c r="P38" i="10"/>
  <c r="G7" i="10"/>
  <c r="G19" i="10" s="1"/>
  <c r="G22" i="10" s="1"/>
  <c r="G21" i="10" l="1"/>
  <c r="H45" i="10"/>
  <c r="O45" i="10"/>
  <c r="P39" i="10" s="1"/>
  <c r="P42" i="10" s="1"/>
  <c r="P52" i="10"/>
  <c r="P45" i="10"/>
  <c r="L21" i="10"/>
  <c r="L26" i="10" s="1"/>
  <c r="L25" i="10" s="1"/>
  <c r="L28" i="10" s="1"/>
  <c r="L30" i="10"/>
  <c r="L31" i="10" s="1"/>
  <c r="L29" i="10" s="1"/>
  <c r="L33" i="10" s="1"/>
  <c r="L34" i="10" s="1"/>
  <c r="J17" i="10"/>
  <c r="I17" i="10"/>
  <c r="I45" i="10" s="1"/>
  <c r="T15" i="10"/>
  <c r="E17" i="10"/>
  <c r="F15" i="10"/>
  <c r="W38" i="10"/>
  <c r="D12" i="10"/>
  <c r="K17" i="10"/>
  <c r="G24" i="10"/>
  <c r="G30" i="10" s="1"/>
  <c r="G31" i="10" s="1"/>
  <c r="G29" i="10" s="1"/>
  <c r="G33" i="10" s="1"/>
  <c r="G34" i="10" s="1"/>
  <c r="U13" i="10"/>
  <c r="U17" i="10"/>
  <c r="E12" i="10"/>
  <c r="I12" i="10"/>
  <c r="J38" i="10"/>
  <c r="X17" i="10"/>
  <c r="V13" i="10"/>
  <c r="W13" i="10"/>
  <c r="G26" i="10"/>
  <c r="G25" i="10" s="1"/>
  <c r="G28" i="10" s="1"/>
  <c r="D17" i="10"/>
  <c r="D45" i="10" s="1"/>
  <c r="J12" i="10"/>
  <c r="AA17" i="10"/>
  <c r="AA46" i="10" s="1"/>
  <c r="AB39" i="10" s="1"/>
  <c r="AB15" i="10"/>
  <c r="AB17" i="10" s="1"/>
  <c r="W17" i="10"/>
  <c r="O12" i="10"/>
  <c r="P12" i="10" s="1"/>
  <c r="C12" i="10"/>
  <c r="H12" i="10"/>
  <c r="K38" i="10" l="1"/>
  <c r="J45" i="10"/>
  <c r="X13" i="10"/>
  <c r="U46" i="10"/>
  <c r="T17" i="10"/>
  <c r="Q17" i="10"/>
  <c r="R13" i="10"/>
  <c r="S38" i="10"/>
  <c r="W46" i="10"/>
  <c r="X38" i="10"/>
  <c r="S17" i="10"/>
  <c r="K12" i="10"/>
  <c r="P47" i="10"/>
  <c r="P48" i="10"/>
  <c r="P51" i="10" s="1"/>
  <c r="P53" i="10" s="1"/>
  <c r="E11" i="16" s="1"/>
  <c r="R17" i="10"/>
  <c r="R46" i="10" s="1"/>
  <c r="S13" i="10"/>
  <c r="AB53" i="10"/>
  <c r="H11" i="16" s="1"/>
  <c r="AB46" i="10"/>
  <c r="Q13" i="10"/>
  <c r="F17" i="10"/>
  <c r="E38" i="10"/>
  <c r="C17" i="10"/>
  <c r="C45" i="10" l="1"/>
  <c r="F12" i="10"/>
  <c r="S46" i="10"/>
  <c r="T38" i="10"/>
  <c r="AB48" i="10"/>
  <c r="AB51" i="10" s="1"/>
  <c r="AB47" i="10"/>
  <c r="X53" i="10"/>
  <c r="G11" i="16" s="1"/>
  <c r="X39" i="10"/>
  <c r="X52" i="10"/>
  <c r="X46" i="10"/>
  <c r="X42" i="10"/>
  <c r="Q46" i="10"/>
  <c r="T13" i="10"/>
  <c r="E45" i="10"/>
  <c r="F38" i="10"/>
  <c r="K53" i="10"/>
  <c r="D11" i="16" s="1"/>
  <c r="K39" i="10"/>
  <c r="K52" i="10"/>
  <c r="K45" i="10"/>
  <c r="K42" i="10"/>
  <c r="T42" i="10" l="1"/>
  <c r="T52" i="10"/>
  <c r="T46" i="10"/>
  <c r="T53" i="10"/>
  <c r="F11" i="16" s="1"/>
  <c r="T39" i="10"/>
  <c r="K47" i="10"/>
  <c r="K48" i="10"/>
  <c r="K51" i="10" s="1"/>
  <c r="F42" i="10"/>
  <c r="F45" i="10"/>
  <c r="F53" i="10"/>
  <c r="C11" i="16" s="1"/>
  <c r="F39" i="10"/>
  <c r="F52" i="10"/>
  <c r="X47" i="10"/>
  <c r="X48" i="10"/>
  <c r="X51" i="10" s="1"/>
  <c r="T48" i="10" l="1"/>
  <c r="T51" i="10" s="1"/>
  <c r="T47" i="10"/>
  <c r="F48" i="10"/>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<sst xmlns="http://schemas.openxmlformats.org/spreadsheetml/2006/main" count="570" uniqueCount="508">
  <si>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</si>
  <si>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</si>
  <si>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</si>
  <si>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</si>
  <si>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</si>
  <si>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</si>
  <si>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</si>
  <si>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</si>
  <si>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</si>
  <si>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</si>
  <si>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</si>
  <si>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</si>
  <si>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</si>
  <si>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</si>
  <si>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</si>
  <si>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</si>
  <si>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</si>
  <si>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</si>
  <si>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</si>
  <si>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</si>
  <si>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</si>
  <si>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</si>
  <si>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</si>
  <si>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</si>
  <si>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</si>
  <si>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</si>
  <si>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</si>
  <si>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</si>
  <si>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</si>
  <si>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</si>
  <si>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</si>
  <si>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</si>
  <si>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</si>
  <si>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</si>
  <si>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</si>
  <si>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</si>
  <si>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</si>
  <si>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</si>
  <si>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</si>
  <si>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</si>
  <si>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</si>
  <si>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</si>
  <si>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</si>
  <si>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</si>
  <si>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</si>
  <si>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</si>
  <si>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</si>
  <si>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</si>
  <si>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</si>
  <si>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</si>
  <si>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</si>
  <si>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</si>
  <si>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</si>
  <si>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</si>
  <si>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</si>
  <si>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</si>
  <si>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</si>
  <si>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</si>
  <si>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</si>
  <si>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</si>
  <si>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</si>
  <si>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</si>
  <si>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</si>
  <si>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</si>
  <si>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</si>
  <si>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</si>
  <si>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</si>
  <si>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</si>
  <si>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</si>
  <si>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</si>
  <si>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</si>
  <si>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</si>
  <si>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</si>
  <si>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</si>
  <si>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</si>
  <si>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</si>
  <si>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</si>
  <si>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</si>
  <si>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</si>
  <si>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</si>
  <si>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</si>
  <si>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</si>
  <si>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</si>
  <si>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</si>
  <si>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</si>
  <si>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</si>
  <si>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</si>
  <si>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</si>
  <si>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</si>
  <si>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</si>
  <si>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</si>
  <si>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</si>
  <si>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</si>
  <si>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</si>
  <si>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</si>
  <si>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</si>
  <si>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</si>
  <si>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</si>
  <si>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</si>
  <si>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</si>
  <si>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</si>
  <si>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</si>
  <si>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</si>
  <si>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</si>
  <si>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</si>
  <si>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</si>
  <si>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</si>
  <si>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</si>
  <si>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</si>
  <si>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</si>
  <si>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</si>
  <si>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</si>
  <si>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</si>
  <si>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</si>
  <si>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</si>
  <si>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</si>
  <si>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</si>
  <si>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</si>
  <si>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</si>
  <si>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</si>
  <si>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</si>
  <si>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</si>
  <si>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</si>
  <si>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</si>
  <si>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</si>
  <si>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</si>
  <si>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</si>
  <si>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</si>
  <si>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</si>
  <si>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</si>
  <si>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</si>
  <si>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</si>
  <si>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</si>
  <si>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</si>
  <si>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</si>
  <si>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</si>
  <si>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</si>
  <si>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</si>
  <si>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</si>
  <si>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</si>
  <si>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</si>
  <si>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</si>
  <si>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</si>
  <si>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</si>
  <si>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</si>
  <si>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</si>
  <si>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</si>
  <si>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</si>
  <si>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</si>
  <si>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</si>
  <si>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</si>
  <si>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</si>
  <si>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</si>
  <si>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</si>
  <si>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</si>
  <si>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</si>
  <si>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</si>
  <si>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</si>
  <si>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</si>
  <si>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</si>
  <si>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</si>
  <si>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</si>
  <si>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</si>
  <si>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</si>
  <si>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</si>
  <si>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</si>
  <si>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</si>
  <si>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</si>
  <si>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</si>
  <si>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</si>
  <si>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</si>
  <si>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</si>
  <si>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</si>
  <si>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</si>
  <si>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</si>
  <si>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</si>
  <si>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</si>
  <si>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</si>
  <si>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</si>
  <si>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</si>
  <si>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</si>
  <si>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</si>
  <si>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</si>
  <si>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</si>
  <si>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</si>
  <si>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</si>
  <si>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</si>
  <si>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</si>
  <si>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</si>
  <si>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</si>
  <si>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</si>
  <si>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</si>
  <si>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</si>
  <si>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</si>
  <si>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</si>
  <si>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</si>
  <si>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</si>
  <si>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</si>
  <si>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</si>
  <si>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</si>
  <si>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</si>
  <si>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</si>
  <si>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</si>
  <si>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</si>
  <si>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</si>
  <si>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</si>
  <si>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</si>
  <si>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</si>
  <si>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</si>
  <si>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</si>
  <si>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</si>
  <si>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</si>
  <si>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</si>
  <si>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</si>
  <si>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</si>
  <si>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</si>
  <si>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</si>
  <si>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</si>
  <si>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</si>
  <si>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</si>
  <si>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</si>
  <si>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</si>
  <si>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</si>
  <si>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</si>
  <si>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</si>
  <si>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</si>
  <si>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</si>
  <si>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</si>
  <si>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</si>
  <si>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</si>
  <si>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</si>
  <si>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</si>
  <si>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</si>
  <si>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</si>
  <si>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</si>
  <si>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</si>
  <si>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</si>
  <si>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</si>
  <si>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</si>
  <si>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</si>
  <si>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</si>
  <si>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</si>
  <si>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</si>
  <si>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</si>
  <si>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</si>
  <si>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</si>
  <si>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</si>
  <si>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</si>
  <si>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</si>
  <si>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</si>
  <si>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</si>
  <si>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</si>
  <si>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</si>
  <si>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</si>
  <si>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</si>
  <si>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</si>
  <si>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</si>
  <si>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</si>
  <si>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</si>
  <si>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</si>
  <si>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</si>
  <si>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</si>
  <si>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</si>
  <si>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</si>
  <si>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</si>
  <si>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</si>
  <si>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</si>
  <si>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</si>
  <si>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</si>
  <si>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</si>
  <si>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</si>
  <si>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</si>
  <si>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</si>
  <si>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</si>
  <si>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</si>
  <si>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</si>
  <si>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</si>
  <si>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</si>
  <si>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</si>
  <si>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</si>
  <si>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</si>
  <si>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</si>
  <si>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</si>
  <si>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</si>
  <si>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</si>
  <si>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</si>
  <si>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</si>
  <si>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</si>
  <si>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</si>
  <si>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</si>
  <si>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</si>
  <si>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</si>
  <si>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</si>
  <si>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</si>
  <si>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</si>
  <si>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</si>
  <si>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</si>
  <si>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</si>
  <si>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</si>
  <si>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</si>
  <si>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</si>
  <si>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</si>
  <si>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</si>
  <si>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</si>
  <si>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</si>
  <si>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</si>
  <si>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</si>
  <si>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</si>
  <si>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</si>
  <si>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</si>
  <si>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</si>
  <si>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</si>
  <si>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</si>
  <si>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</si>
  <si>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</si>
  <si>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</si>
  <si>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</si>
  <si>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</si>
  <si>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</si>
  <si>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</si>
  <si>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</si>
  <si>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</si>
  <si>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</si>
  <si>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</si>
  <si>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</si>
  <si>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</si>
  <si>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</si>
  <si>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</si>
  <si>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</si>
  <si>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</si>
  <si>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</si>
  <si>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</si>
  <si>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</si>
  <si>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</si>
  <si>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</si>
  <si>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</si>
  <si>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</si>
  <si>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</si>
  <si>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</si>
  <si>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</si>
  <si>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</si>
  <si>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</si>
  <si>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</si>
  <si>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</si>
  <si>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</si>
  <si>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</si>
  <si>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</si>
  <si>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</si>
  <si>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</si>
  <si>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</si>
  <si>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</si>
  <si>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</si>
  <si>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</si>
  <si>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</si>
  <si>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</si>
  <si>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</si>
  <si>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</si>
  <si>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</si>
  <si>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</si>
  <si>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</si>
  <si>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</si>
  <si>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</si>
  <si>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</si>
  <si>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</si>
  <si>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</si>
  <si>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</si>
  <si>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</si>
  <si>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</si>
  <si>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</si>
  <si>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</si>
  <si>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</si>
  <si>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</si>
  <si>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</si>
  <si>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</si>
  <si>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</si>
  <si>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</si>
  <si>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</si>
  <si>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</si>
  <si>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</si>
  <si>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</si>
  <si>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</si>
  <si>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</si>
  <si>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</si>
  <si>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</si>
  <si>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</si>
  <si>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</si>
  <si>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</si>
  <si>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</si>
  <si>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</si>
  <si>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</si>
  <si>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</si>
  <si>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</si>
  <si>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</si>
  <si>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</si>
  <si>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</si>
  <si>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</si>
  <si>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</si>
  <si>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</si>
  <si>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</si>
  <si>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</si>
  <si>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</si>
  <si>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</si>
  <si>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</si>
  <si>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</si>
  <si>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</si>
  <si>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</si>
  <si>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</si>
  <si>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</si>
  <si>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</si>
  <si>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</si>
  <si>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</si>
  <si>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</si>
  <si>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</si>
  <si>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</si>
  <si>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</si>
  <si>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</si>
  <si>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</si>
  <si>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</si>
  <si>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</si>
  <si>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</si>
  <si>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</si>
  <si>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</si>
  <si>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</si>
  <si>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</si>
  <si>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</si>
  <si>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</si>
  <si>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</si>
  <si>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</si>
  <si>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</si>
  <si>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</si>
  <si>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</si>
  <si>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</si>
  <si>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</si>
  <si>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</si>
  <si>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</si>
  <si>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</si>
  <si>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</si>
  <si>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</si>
  <si>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</si>
  <si>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</si>
  <si>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</si>
  <si>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</si>
  <si>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</si>
  <si>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</si>
  <si>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</si>
  <si>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</si>
  <si>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</si>
  <si>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</si>
  <si>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</si>
  <si>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</si>
  <si>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</si>
  <si>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</si>
  <si>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</si>
  <si>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</si>
  <si>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</si>
  <si>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</si>
  <si>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</si>
  <si>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</si>
  <si>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</si>
  <si>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</si>
  <si>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</si>
  <si>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</si>
  <si>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</si>
  <si>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</si>
  <si>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</si>
  <si>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</si>
  <si>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</si>
  <si>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</si>
  <si>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</si>
  <si>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</si>
  <si>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</si>
  <si>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</si>
  <si>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</si>
  <si>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</si>
  <si>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</si>
  <si>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</si>
  <si>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</si>
  <si>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</si>
  <si>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</si>
  <si>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</si>
  <si>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</si>
  <si>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</si>
  <si>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</si>
  <si>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</si>
  <si>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</si>
  <si>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</si>
  <si>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</si>
  <si>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</si>
  <si>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</si>
  <si>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</si>
  <si>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</si>
  <si>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</si>
  <si>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</si>
  <si>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</si>
  <si>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</si>
  <si>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</si>
  <si>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</si>
  <si>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</si>
  <si>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</si>
  <si>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</si>
  <si>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</si>
  <si>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</si>
  <si>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</si>
  <si>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</si>
  <si>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</si>
  <si>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30604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</si>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</sst>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6796537</v>
      </c>
      <c r="Q5" s="219">
        <f>SUM('Pt 2 Premium and Claims'!Q$5,'Pt 2 Premium and Claims'!Q$6,-'Pt 2 Premium and Claims'!Q$7,-'Pt 2 Premium and Claims'!Q$13,'Pt 2 Premium and Claims'!Q$14)</f>
        <v>6798353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9321356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192</v>
      </c>
      <c r="Q7" s="223">
        <v>192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263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29524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-385</v>
      </c>
      <c r="E12" s="219">
        <f>'Pt 2 Premium and Claims'!E$54</f>
        <v>-20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4855915</v>
      </c>
      <c r="Q12" s="219">
        <f>'Pt 2 Premium and Claims'!Q$54</f>
        <v>4822488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7064211</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580969</v>
      </c>
      <c r="Q13" s="223">
        <v>580534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95485</v>
      </c>
      <c r="Q14" s="223">
        <v>151735</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8531</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29987</v>
      </c>
      <c r="Q15" s="223">
        <v>29431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126</v>
      </c>
      <c r="E25" s="223">
        <v>126</v>
      </c>
      <c r="F25" s="223"/>
      <c r="G25" s="223"/>
      <c r="H25" s="223"/>
      <c r="I25" s="222">
        <v>0</v>
      </c>
      <c r="J25" s="222">
        <v>-12</v>
      </c>
      <c r="K25" s="223">
        <v>-12</v>
      </c>
      <c r="L25" s="223"/>
      <c r="M25" s="223"/>
      <c r="N25" s="223"/>
      <c r="O25" s="222"/>
      <c r="P25" s="222">
        <v>450017</v>
      </c>
      <c r="Q25" s="223">
        <v>450017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466751</v>
      </c>
      <c r="AU25" s="226">
        <v>0</v>
      </c>
      <c r="AV25" s="226">
        <v>-530547</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2297</v>
      </c>
      <c r="Q26" s="223">
        <v>2297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113671</v>
      </c>
      <c r="Q27" s="223">
        <v>113671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56468</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15884</v>
      </c>
      <c r="Q28" s="223">
        <v>15884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11919</v>
      </c>
      <c r="AU28" s="226">
        <v>0</v>
      </c>
      <c r="AV28" s="226">
        <v>338321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21114</v>
      </c>
      <c r="Q30" s="223">
        <v>21114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28816</v>
      </c>
      <c r="AU30" s="226">
        <v>0</v>
      </c>
      <c r="AV30" s="226">
        <v>8846</v>
      </c>
      <c r="AW30" s="303"/>
    </row>
    <row r="31" spans="1:49" x14ac:dyDescent="0.2">
      <c r="B31" s="248" t="s">
        <v>247</v>
      </c>
      <c r="C31" s="209"/>
      <c r="D31" s="222">
        <v>0</v>
      </c>
      <c r="E31" s="223">
        <v>0</v>
      </c>
      <c r="F31" s="223"/>
      <c r="G31" s="223"/>
      <c r="H31" s="223"/>
      <c r="I31" s="222">
        <v>0</v>
      </c>
      <c r="J31" s="222">
        <v>0</v>
      </c>
      <c r="K31" s="223">
        <v>0</v>
      </c>
      <c r="L31" s="223"/>
      <c r="M31" s="223"/>
      <c r="N31" s="223"/>
      <c r="O31" s="222"/>
      <c r="P31" s="222">
        <v>116792</v>
      </c>
      <c r="Q31" s="223">
        <v>116792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160270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44722</v>
      </c>
      <c r="Q34" s="223">
        <v>44722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-10</v>
      </c>
      <c r="Q35" s="223">
        <v>-10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8</v>
      </c>
      <c r="K37" s="231">
        <v>8</v>
      </c>
      <c r="L37" s="231"/>
      <c r="M37" s="231"/>
      <c r="N37" s="231"/>
      <c r="O37" s="230"/>
      <c r="P37" s="230">
        <v>5491</v>
      </c>
      <c r="Q37" s="231">
        <v>5501</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59</v>
      </c>
      <c r="AU37" s="232">
        <v>0</v>
      </c>
      <c r="AV37" s="232">
        <v>355049</v>
      </c>
      <c r="AW37" s="302"/>
    </row>
    <row r="38" spans="1:49" x14ac:dyDescent="0.2">
      <c r="B38" s="245" t="s">
        <v>254</v>
      </c>
      <c r="C38" s="209" t="s">
        <v>16</v>
      </c>
      <c r="D38" s="222">
        <v>0</v>
      </c>
      <c r="E38" s="223">
        <v>0</v>
      </c>
      <c r="F38" s="223"/>
      <c r="G38" s="223"/>
      <c r="H38" s="223"/>
      <c r="I38" s="222">
        <v>0</v>
      </c>
      <c r="J38" s="222">
        <v>8</v>
      </c>
      <c r="K38" s="223">
        <v>8</v>
      </c>
      <c r="L38" s="223"/>
      <c r="M38" s="223"/>
      <c r="N38" s="223"/>
      <c r="O38" s="222"/>
      <c r="P38" s="222">
        <v>1346</v>
      </c>
      <c r="Q38" s="223">
        <v>1349</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50779</v>
      </c>
      <c r="AW38" s="303"/>
    </row>
    <row r="39" spans="1:49" x14ac:dyDescent="0.2">
      <c r="B39" s="248" t="s">
        <v>255</v>
      </c>
      <c r="C39" s="209" t="s">
        <v>17</v>
      </c>
      <c r="D39" s="222">
        <v>0</v>
      </c>
      <c r="E39" s="223">
        <v>0</v>
      </c>
      <c r="F39" s="223"/>
      <c r="G39" s="223"/>
      <c r="H39" s="223"/>
      <c r="I39" s="222">
        <v>0</v>
      </c>
      <c r="J39" s="222">
        <v>8</v>
      </c>
      <c r="K39" s="223">
        <v>8</v>
      </c>
      <c r="L39" s="223"/>
      <c r="M39" s="223"/>
      <c r="N39" s="223"/>
      <c r="O39" s="222"/>
      <c r="P39" s="222">
        <v>6197</v>
      </c>
      <c r="Q39" s="223">
        <v>5945</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46</v>
      </c>
      <c r="AU39" s="226">
        <v>0</v>
      </c>
      <c r="AV39" s="226">
        <v>8637</v>
      </c>
      <c r="AW39" s="303"/>
    </row>
    <row r="40" spans="1:49" x14ac:dyDescent="0.2">
      <c r="B40" s="248" t="s">
        <v>256</v>
      </c>
      <c r="C40" s="209" t="s">
        <v>38</v>
      </c>
      <c r="D40" s="222">
        <v>0</v>
      </c>
      <c r="E40" s="223">
        <v>0</v>
      </c>
      <c r="F40" s="223"/>
      <c r="G40" s="223"/>
      <c r="H40" s="223"/>
      <c r="I40" s="222">
        <v>0</v>
      </c>
      <c r="J40" s="222">
        <v>8</v>
      </c>
      <c r="K40" s="223">
        <v>8</v>
      </c>
      <c r="L40" s="223"/>
      <c r="M40" s="223"/>
      <c r="N40" s="223"/>
      <c r="O40" s="222"/>
      <c r="P40" s="222">
        <v>553</v>
      </c>
      <c r="Q40" s="223">
        <v>553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171</v>
      </c>
      <c r="AU40" s="226">
        <v>0</v>
      </c>
      <c r="AV40" s="226">
        <v>55623</v>
      </c>
      <c r="AW40" s="303"/>
    </row>
    <row r="41" spans="1:49" s="11" customFormat="1" ht="25.5" x14ac:dyDescent="0.2">
      <c r="A41" s="41"/>
      <c r="B41" s="248" t="s">
        <v>257</v>
      </c>
      <c r="C41" s="209" t="s">
        <v>129</v>
      </c>
      <c r="D41" s="222">
        <v>0</v>
      </c>
      <c r="E41" s="223">
        <v>0</v>
      </c>
      <c r="F41" s="223"/>
      <c r="G41" s="223"/>
      <c r="H41" s="223"/>
      <c r="I41" s="222">
        <v>0</v>
      </c>
      <c r="J41" s="222">
        <v>8</v>
      </c>
      <c r="K41" s="223">
        <v>8</v>
      </c>
      <c r="L41" s="223"/>
      <c r="M41" s="223"/>
      <c r="N41" s="223"/>
      <c r="O41" s="222"/>
      <c r="P41" s="222">
        <v>2644</v>
      </c>
      <c r="Q41" s="223">
        <v>2644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1018</v>
      </c>
      <c r="AU41" s="226">
        <v>0</v>
      </c>
      <c r="AV41" s="226">
        <v>157720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244</v>
      </c>
      <c r="Q42" s="223">
        <v>244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6436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44925</v>
      </c>
      <c r="Q44" s="231">
        <v>45944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6760</v>
      </c>
      <c r="AU44" s="232">
        <v>0</v>
      </c>
      <c r="AV44" s="232">
        <v>1765385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1158</v>
      </c>
      <c r="Q45" s="223">
        <v>1158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431</v>
      </c>
      <c r="AU45" s="226">
        <v>0</v>
      </c>
      <c r="AV45" s="226">
        <v>-1533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33686</v>
      </c>
      <c r="Q46" s="223">
        <v>33686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32251</v>
      </c>
      <c r="AU46" s="226">
        <v>0</v>
      </c>
      <c r="AV46" s="226">
        <v>565512</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151217</v>
      </c>
      <c r="Q47" s="223">
        <v>151217</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243546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78999</v>
      </c>
      <c r="Q51" s="223">
        <v>78999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368018</v>
      </c>
      <c r="AU51" s="226">
        <v>0</v>
      </c>
      <c r="AV51" s="226">
        <v>9133356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383</v>
      </c>
      <c r="Q53" s="223">
        <v>383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1462</v>
      </c>
      <c r="AU53" s="226">
        <v>0</v>
      </c>
      <c r="AV53" s="226">
        <v>18959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10814543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504</v>
      </c>
      <c r="Q56" s="235">
        <v>504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5994</v>
      </c>
      <c r="AU56" s="236">
        <v>0</v>
      </c>
      <c r="AV56" s="236">
        <v>49473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1189</v>
      </c>
      <c r="Q57" s="238">
        <v>1189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12425</v>
      </c>
      <c r="AU57" s="239">
        <v>0</v>
      </c>
      <c r="AV57" s="239">
        <v>98814</v>
      </c>
      <c r="AW57" s="295"/>
    </row>
    <row r="58" spans="2:49" x14ac:dyDescent="0.2">
      <c r="B58" s="251" t="s">
        <v>273</v>
      </c>
      <c r="C58" s="209" t="s">
        <v>26</v>
      </c>
      <c r="D58" s="315"/>
      <c r="E58" s="316"/>
      <c r="F58" s="316"/>
      <c r="G58" s="316"/>
      <c r="H58" s="316"/>
      <c r="I58" s="315"/>
      <c r="J58" s="237">
        <v>0</v>
      </c>
      <c r="K58" s="238">
        <v>0</v>
      </c>
      <c r="L58" s="238"/>
      <c r="M58" s="238"/>
      <c r="N58" s="238"/>
      <c r="O58" s="237"/>
      <c r="P58" s="237">
        <v>4</v>
      </c>
      <c r="Q58" s="238">
        <v>4</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120</v>
      </c>
      <c r="AU58" s="239">
        <v>0</v>
      </c>
      <c r="AV58" s="239">
        <v>32</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13489</v>
      </c>
      <c r="Q59" s="238">
        <v>13489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141897</v>
      </c>
      <c r="AU59" s="239">
        <v>0</v>
      </c>
      <c r="AV59" s="239">
        <v>1215138</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1124.0833333333333</v>
      </c>
      <c r="Q60" s="241">
        <f>Q$59/12</f>
        <v>1124.0833333333333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11824.75</v>
      </c>
      <c r="AU60" s="242">
        <f>AU$59/12</f>
        <v>0</v>
      </c>
      <c r="AV60" s="242">
        <f>AV$59/12</f>
        <v>101261.5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401286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132239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-34901</v>
      </c>
      <c r="E5" s="332">
        <v>-34901</v>
      </c>
      <c r="F5" s="332"/>
      <c r="G5" s="334"/>
      <c r="H5" s="334"/>
      <c r="I5" s="331">
        <v>0</v>
      </c>
      <c r="J5" s="331">
        <v>0</v>
      </c>
      <c r="K5" s="332">
        <v>0</v>
      </c>
      <c r="L5" s="332"/>
      <c r="M5" s="332"/>
      <c r="N5" s="332"/>
      <c r="O5" s="331"/>
      <c r="P5" s="331">
        <v>6773322</v>
      </c>
      <c r="Q5" s="332">
        <v>6732662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9337842</v>
      </c>
      <c r="AU5" s="333">
        <v>0</v>
      </c>
      <c r="AV5" s="375"/>
      <c r="AW5" s="379"/>
    </row>
    <row r="6" spans="2:49" x14ac:dyDescent="0.2">
      <c r="B6" s="349" t="s">
        <v>278</v>
      </c>
      <c r="C6" s="337" t="s">
        <v>8</v>
      </c>
      <c r="D6" s="324">
        <v>34901</v>
      </c>
      <c r="E6" s="325">
        <v>34901</v>
      </c>
      <c r="F6" s="325"/>
      <c r="G6" s="326"/>
      <c r="H6" s="326"/>
      <c r="I6" s="324">
        <v>0</v>
      </c>
      <c r="J6" s="324">
        <v>0</v>
      </c>
      <c r="K6" s="325">
        <v>0</v>
      </c>
      <c r="L6" s="325"/>
      <c r="M6" s="325"/>
      <c r="N6" s="325"/>
      <c r="O6" s="324"/>
      <c r="P6" s="324">
        <v>87687</v>
      </c>
      <c r="Q6" s="325">
        <v>87687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54024</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53669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70420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-512840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-512840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-194367</v>
      </c>
      <c r="Q11" s="325">
        <v>282976</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-477342</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10803</v>
      </c>
      <c r="Q13" s="325">
        <v>21996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90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5062119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6932641</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4948903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551161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1000859</v>
      </c>
      <c r="AU26" s="327">
        <v>0</v>
      </c>
      <c r="AV26" s="374"/>
      <c r="AW26" s="380"/>
    </row>
    <row r="27" spans="2:49" s="11" customFormat="1" ht="25.5" x14ac:dyDescent="0.2">
      <c r="B27" s="351" t="s">
        <v>85</v>
      </c>
      <c r="C27" s="337"/>
      <c r="D27" s="371"/>
      <c r="E27" s="325">
        <v>-16</v>
      </c>
      <c r="F27" s="325"/>
      <c r="G27" s="325"/>
      <c r="H27" s="325"/>
      <c r="I27" s="324">
        <v>0</v>
      </c>
      <c r="J27" s="371"/>
      <c r="K27" s="325">
        <v>0</v>
      </c>
      <c r="L27" s="325"/>
      <c r="M27" s="325"/>
      <c r="N27" s="325"/>
      <c r="O27" s="324"/>
      <c r="P27" s="371"/>
      <c r="Q27" s="325">
        <v>99883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379</v>
      </c>
      <c r="E28" s="369"/>
      <c r="F28" s="369"/>
      <c r="G28" s="369"/>
      <c r="H28" s="369"/>
      <c r="I28" s="371"/>
      <c r="J28" s="324">
        <v>0</v>
      </c>
      <c r="K28" s="369"/>
      <c r="L28" s="369"/>
      <c r="M28" s="369"/>
      <c r="N28" s="369"/>
      <c r="O28" s="371"/>
      <c r="P28" s="324">
        <v>544397</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869289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4903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4903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v>
      </c>
      <c r="E36" s="325">
        <v>4</v>
      </c>
      <c r="F36" s="325"/>
      <c r="G36" s="325"/>
      <c r="H36" s="325"/>
      <c r="I36" s="324">
        <v>0</v>
      </c>
      <c r="J36" s="324">
        <v>0</v>
      </c>
      <c r="K36" s="325">
        <v>0</v>
      </c>
      <c r="L36" s="325"/>
      <c r="M36" s="325"/>
      <c r="N36" s="325"/>
      <c r="O36" s="324"/>
      <c r="P36" s="324">
        <v>4700</v>
      </c>
      <c r="Q36" s="325">
        <v>4700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-512840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-512840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-194367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282976</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-477342</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6723</v>
      </c>
      <c r="Q45" s="325">
        <v>3372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41659</v>
      </c>
      <c r="Q49" s="325">
        <v>9</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51630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-385</v>
      </c>
      <c r="E54" s="329">
        <f>E24+E27+E31+E35-E36+E39+E42+E45+E46-E49+E51+E52+E53</f>
        <v>-20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4855915</v>
      </c>
      <c r="Q54" s="329">
        <f>Q24+Q27+Q31+Q35-Q36+Q39+Q42+Q45+Q46-Q49+Q51+Q52+Q53</f>
        <v>4822488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7064211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3332330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34424</v>
      </c>
      <c r="D6" s="404">
        <v>-4946</v>
      </c>
      <c r="E6" s="406">
        <f>SUM('Pt 1 Summary of Data'!E$12,'Pt 1 Summary of Data'!E$22)+SUM('Pt 1 Summary of Data'!G$12,'Pt 1 Summary of Data'!G$22)-SUM('Pt 1 Summary of Data'!H$12,'Pt 1 Summary of Data'!H$22)</f>
        <v>-20</v>
      </c>
      <c r="F6" s="406">
        <f>SUM(C6:E6)</f>
        <v>29458</v>
      </c>
      <c r="G6" s="407">
        <f>SUM('Pt 1 Summary of Data'!I$12,'Pt 1 Summary of Data'!I$22)</f>
        <v>0</v>
      </c>
      <c r="H6" s="403">
        <v>0</v>
      </c>
      <c r="I6" s="404">
        <v>-11</v>
      </c>
      <c r="J6" s="406">
        <f>SUM('Pt 1 Summary of Data'!K$12,'Pt 1 Summary of Data'!K$22)+SUM('Pt 1 Summary of Data'!M$12,'Pt 1 Summary of Data'!M$22)-SUM('Pt 1 Summary of Data'!N$12,'Pt 1 Summary of Data'!N$22)</f>
        <v>0</v>
      </c>
      <c r="K6" s="406">
        <f>SUM(H6:J6)</f>
        <v>-11</v>
      </c>
      <c r="L6" s="407">
        <f>SUM('Pt 1 Summary of Data'!O$12,'Pt 1 Summary of Data'!O$22)</f>
        <v>0</v>
      </c>
      <c r="M6" s="403">
        <v>3559722</v>
      </c>
      <c r="N6" s="404">
        <v>5960309</v>
      </c>
      <c r="O6" s="406">
        <f>SUM('Pt 1 Summary of Data'!Q$12,'Pt 1 Summary of Data'!Q$22)+SUM('Pt 1 Summary of Data'!S$12,'Pt 1 Summary of Data'!S$22)-SUM('Pt 1 Summary of Data'!T$12,'Pt 1 Summary of Data'!T$22)</f>
        <v>4822488</v>
      </c>
      <c r="P6" s="406">
        <f>SUM(M6:O6)</f>
        <v>14342519</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60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60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40</v>
      </c>
      <c r="K7" s="406">
        <f>SUM(H7:J7)</f>
        <v>40</v>
      </c>
      <c r="L7" s="407">
        <f>SUM('Pt 1 Summary of Data'!O$37:O$41)+MAX(0,MIN(VALUE('Pt 1 Summary of Data'!O$42),0.3%*('Pt 1 Summary of Data'!O$5-L$10)))</f>
        <v>0</v>
      </c>
      <c r="M7" s="403">
        <v>15601</v>
      </c>
      <c r="N7" s="404">
        <v>12300</v>
      </c>
      <c r="O7" s="406">
        <f>SUM('Pt 1 Summary of Data'!Q$37:Q$41)+SUM('Pt 1 Summary of Data'!S$37:S$41)-SUM('Pt 1 Summary of Data'!T$37:T$41)+MAX(0,MIN('Pt 1 Summary of Data'!Q$42+'Pt 1 Summary of Data'!S$42-'Pt 1 Summary of Data'!T$42,0.3%*('Pt 1 Summary of Data'!Q$5+'Pt 1 Summary of Data'!S$5-'Pt 1 Summary of Data'!T$5)))</f>
        <v>16236</v>
      </c>
      <c r="P7" s="406">
        <f>SUM(M7:O7)</f>
        <v>44137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34484</v>
      </c>
      <c r="D12" s="406">
        <f>SUM(D$6:D$7) - SUM(D$8:D$11)+IF(AND(OR('Company Information'!$C$12="District of Columbia",'Company Information'!$C$12="Massachusetts",'Company Information'!$C$12="Vermont"),SUM($C$6:$F$11,$C$15:$F$16,$C$38:$D$38)&lt;&gt;0),SUM(I$6:I$7) - SUM(I$10:I$11),0)</f>
        <v>-4946</v>
      </c>
      <c r="E12" s="406">
        <f>SUM(E$6:E$7)-SUM(E$8:E$11)+IF(AND(OR('Company Information'!$C$12="District of Columbia",'Company Information'!$C$12="Massachusetts",'Company Information'!$C$12="Vermont"),SUM($C$6:$F$11,$C$15:$F$16,$C$38:$D$38)&lt;&gt;0),SUM(J$6:J$7)-SUM(J$10:J$11),0)</f>
        <v>-20</v>
      </c>
      <c r="F12" s="406">
        <f>IFERROR(SUM(C$12:E$12)+C$17*MAX(0,E$50-C$50)+D$17*MAX(0,E$50-D$50),0)</f>
        <v>29518</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-11</v>
      </c>
      <c r="J12" s="406">
        <f>SUM(J$6:J$7)-SUM(J$10:J$11)+IF(AND(OR('Company Information'!$C$12="District of Columbia",'Company Information'!$C$12="Massachusetts",'Company Information'!$C$12="Vermont"),SUM($H$6:$K$11,$H$15:$K$16,$H$38:$I$38)&lt;&gt;0),SUM(E$6:E$7)-SUM(E$8:E$11),0)</f>
        <v>40</v>
      </c>
      <c r="K12" s="406">
        <f>IFERROR(SUM(H$12:J$12)+H$17*MAX(0,J$50-H$50)+I$17*MAX(0,J$50-I$50),0)</f>
        <v>29</v>
      </c>
      <c r="L12" s="453"/>
      <c r="M12" s="405">
        <f>SUM(M$6:M$7)</f>
        <v>3575323</v>
      </c>
      <c r="N12" s="406">
        <f>SUM(N$6:N$7)</f>
        <v>5972609</v>
      </c>
      <c r="O12" s="406">
        <f>SUM(O$6:O$7)</f>
        <v>4838724</v>
      </c>
      <c r="P12" s="406">
        <f>SUM(M$12:O$12)+M$17*MAX(0,O$50-M$50)+N$17*MAX(0,O$50-N$50)</f>
        <v>14386656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46700</v>
      </c>
      <c r="D15" s="409">
        <v>1033</v>
      </c>
      <c r="E15" s="401">
        <f>SUM('Pt 1 Summary of Data'!E$5:E$7)+SUM('Pt 1 Summary of Data'!G$5:G$7)-SUM('Pt 1 Summary of Data'!H$5:H$7)-SUM(E$9:E$11)</f>
        <v>0</v>
      </c>
      <c r="F15" s="401">
        <f>SUM(C15:E15)</f>
        <v>47733</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3466683</v>
      </c>
      <c r="N15" s="409">
        <v>6570747</v>
      </c>
      <c r="O15" s="401">
        <f>SUM('Pt 1 Summary of Data'!Q$5:Q$7)+SUM('Pt 1 Summary of Data'!S$5:S$7)-SUM('Pt 1 Summary of Data'!T$5:T$7)+N$56</f>
        <v>6798545</v>
      </c>
      <c r="P15" s="401">
        <f>SUM(M15:O15)</f>
        <v>16835975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4478</v>
      </c>
      <c r="D16" s="404">
        <v>2540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126</v>
      </c>
      <c r="F16" s="406">
        <f>SUM(C16:E16)</f>
        <v>7144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-12</v>
      </c>
      <c r="K16" s="406">
        <f>SUM(H16:J16)</f>
        <v>-8</v>
      </c>
      <c r="L16" s="407">
        <f>SUM('Pt 1 Summary of Data'!O$25:O$28,'Pt 1 Summary of Data'!O$30,'Pt 1 Summary of Data'!O$34:O$35)+IF('Company Information'!$C$15="No",IF(MAX('Pt 1 Summary of Data'!O$31:O$32)=0,MIN('Pt 1 Summary of Data'!O$31:O$32),MAX('Pt 1 Summary of Data'!O$31:O$32)),SUM('Pt 1 Summary of Data'!O$31:O$32))</f>
        <v>0</v>
      </c>
      <c r="M16" s="403">
        <v>7969</v>
      </c>
      <c r="N16" s="404">
        <v>245830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764487</v>
      </c>
      <c r="P16" s="406">
        <f>SUM(M16:O16)</f>
        <v>1018286</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42222</v>
      </c>
      <c r="D17" s="406">
        <f>D$15-D$16+IF(AND(OR('Company Information'!$C$12="District of Columbia",'Company Information'!$C$12="Massachusetts",'Company Information'!$C$12="Vermont"),SUM($C$6:$F$11,$C$15:$F$16,$C$38:$D$38)&lt;&gt;0),I$15-I$16,0)</f>
        <v>-1507</v>
      </c>
      <c r="E17" s="406">
        <f>E$15-E$16+IF(AND(OR('Company Information'!$C$12="District of Columbia",'Company Information'!$C$12="Massachusetts",'Company Information'!$C$12="Vermont"),SUM($C$6:$F$11,$C$15:$F$16,$C$38:$D$38)&lt;&gt;0),J$15-J$16,0)</f>
        <v>-126</v>
      </c>
      <c r="F17" s="406">
        <f>F$15-F$16+IF(AND(OR('Company Information'!$C$12="District of Columbia",'Company Information'!$C$12="Massachusetts",'Company Information'!$C$12="Vermont"),SUM($C$6:$F$11,$C$15:$F$16,$C$38:$D$38)&lt;&gt;0),K$15-K$16,0)</f>
        <v>40589</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-4</v>
      </c>
      <c r="J17" s="406">
        <f>J$15-J$16+IF(AND(OR('Company Information'!$C$12="District of Columbia",'Company Information'!$C$12="Massachusetts",'Company Information'!$C$12="Vermont"),SUM($H$6:$K$11,$H$15:$K$16,$H$38:$I$38)&lt;&gt;0),E$15-E$16,0)</f>
        <v>12</v>
      </c>
      <c r="K17" s="406">
        <f>K$15-K$16+IF(AND(OR('Company Information'!$C$12="District of Columbia",'Company Information'!$C$12="Massachusetts",'Company Information'!$C$12="Vermont"),SUM($H$6:$K$11,$H$15:$K$16,$H$38:$I$38)&lt;&gt;0),F$15-F$16,0)</f>
        <v>8</v>
      </c>
      <c r="L17" s="456"/>
      <c r="M17" s="405">
        <f>M$15-M$16</f>
        <v>3458714</v>
      </c>
      <c r="N17" s="406">
        <f>N$15-N$16</f>
        <v>6324917</v>
      </c>
      <c r="O17" s="406">
        <f>O$15-O$16</f>
        <v>6034058</v>
      </c>
      <c r="P17" s="406">
        <f>P$15-P$16</f>
        <v>15817689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2.9558</v>
      </c>
      <c r="D38" s="411">
        <v>8.2500000000000004E-2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3.0383</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622.83330000000001</v>
      </c>
      <c r="N38" s="411">
        <v>1096.75</v>
      </c>
      <c r="O38" s="438">
        <f>('Pt 1 Summary of Data'!Q$59+'Pt 1 Summary of Data'!S$59-'Pt 1 Summary of Data'!T$59)/12</f>
        <v>1124.0833333333333</v>
      </c>
      <c r="P38" s="438">
        <f>SUM(M$38:O$38)</f>
        <v>2843.6666333333333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4.9938000199999999E-2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4.9938000199999999E-2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f>IF(OR(N$38&lt;1000,N$17&lt;=0),"",N$12/N$17)</f>
        <v>0.94429839948887861</v>
      </c>
      <c r="O45" s="442">
        <f>IF(OR(O$38&lt;1000,O$17&lt;=0),"",O$12/O$17)</f>
        <v>0.80190213617436223</v>
      </c>
      <c r="P45" s="442">
        <f>IF(OR(P$38&lt;1000,P$17&lt;=0),"",P$12/P$17)</f>
        <v>0.90952957793012623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4.9938000199999999E-2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0.95899999999999996</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0.95899999999999996</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6034058</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504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