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L15" i="10" s="1"/>
  <c r="L6" i="10"/>
  <c r="K41" i="10"/>
  <c r="K16" i="10"/>
  <c r="K10" i="10"/>
  <c r="J16" i="10"/>
  <c r="J11" i="10"/>
  <c r="K11" i="10" s="1"/>
  <c r="J10" i="10"/>
  <c r="G60" i="10"/>
  <c r="G58" i="10" s="1"/>
  <c r="G59" i="10"/>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N55" i="18"/>
  <c r="N54" i="18"/>
  <c r="M55" i="18"/>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K6" i="10" l="1"/>
  <c r="H12" i="10"/>
  <c r="G19" i="10"/>
  <c r="L20" i="10"/>
  <c r="T6" i="10"/>
  <c r="L32" i="10"/>
  <c r="L24" i="10"/>
  <c r="L27" i="10"/>
  <c r="L23" i="10"/>
  <c r="F6" i="10"/>
  <c r="V17" i="10"/>
  <c r="V46" i="10" s="1"/>
  <c r="X6" i="10"/>
  <c r="W38" i="10" s="1"/>
  <c r="AA13" i="10"/>
  <c r="AB6" i="10"/>
  <c r="O12" i="10"/>
  <c r="P12" i="10" s="1"/>
  <c r="P6" i="10"/>
  <c r="K15" i="10"/>
  <c r="P15" i="10"/>
  <c r="P17" i="10" s="1"/>
  <c r="O17" i="10"/>
  <c r="O45" i="10" s="1"/>
  <c r="X15" i="10"/>
  <c r="L22" i="10"/>
  <c r="AB13" i="10"/>
  <c r="AB38" i="10"/>
  <c r="E15" i="10"/>
  <c r="J7" i="10"/>
  <c r="K7" i="10" s="1"/>
  <c r="L19" i="10"/>
  <c r="O7" i="10"/>
  <c r="P7" i="10" s="1"/>
  <c r="S15" i="10"/>
  <c r="W7" i="10"/>
  <c r="X7" i="10" s="1"/>
  <c r="AA15" i="10"/>
  <c r="P38" i="10"/>
  <c r="G7" i="10"/>
  <c r="G24" i="10" s="1"/>
  <c r="D12" i="10" l="1"/>
  <c r="W46" i="10"/>
  <c r="X38" i="10"/>
  <c r="F15" i="10"/>
  <c r="C12" i="10"/>
  <c r="C17" i="10"/>
  <c r="W17" i="10"/>
  <c r="J17" i="10"/>
  <c r="G20" i="10"/>
  <c r="V13" i="10"/>
  <c r="W13" i="10"/>
  <c r="G23" i="10"/>
  <c r="G32" i="10"/>
  <c r="J12" i="10"/>
  <c r="I17" i="10"/>
  <c r="I45" i="10" s="1"/>
  <c r="P39" i="10"/>
  <c r="P42" i="10" s="1"/>
  <c r="P52" i="10"/>
  <c r="P45" i="10"/>
  <c r="S17" i="10"/>
  <c r="T15" i="10"/>
  <c r="T17" i="10" s="1"/>
  <c r="R13" i="10"/>
  <c r="AB42" i="10"/>
  <c r="AB39" i="10"/>
  <c r="AB52" i="10"/>
  <c r="AB46" i="10"/>
  <c r="AA17" i="10"/>
  <c r="AA46" i="10" s="1"/>
  <c r="AB15" i="10"/>
  <c r="AB17" i="10" s="1"/>
  <c r="AB53" i="10" s="1"/>
  <c r="H11" i="16" s="1"/>
  <c r="X17" i="10"/>
  <c r="K17" i="10"/>
  <c r="G27" i="10"/>
  <c r="J38" i="10"/>
  <c r="L21" i="10"/>
  <c r="L30" i="10"/>
  <c r="E38" i="10"/>
  <c r="U13" i="10"/>
  <c r="U17" i="10"/>
  <c r="L26" i="10"/>
  <c r="L25" i="10" s="1"/>
  <c r="L28" i="10" s="1"/>
  <c r="L31" i="10"/>
  <c r="L29" i="10" s="1"/>
  <c r="L33" i="10" s="1"/>
  <c r="L34" i="10" s="1"/>
  <c r="I12" i="10"/>
  <c r="H17" i="10"/>
  <c r="K38" i="10" l="1"/>
  <c r="J45" i="10"/>
  <c r="K12" i="10"/>
  <c r="H45" i="10"/>
  <c r="Q13" i="10"/>
  <c r="E45" i="10"/>
  <c r="F38" i="10"/>
  <c r="R17" i="10"/>
  <c r="R46" i="10" s="1"/>
  <c r="F17" i="10"/>
  <c r="E12" i="10"/>
  <c r="Q17" i="10"/>
  <c r="S38" i="10"/>
  <c r="D17" i="10"/>
  <c r="D45" i="10" s="1"/>
  <c r="P47" i="10"/>
  <c r="P48" i="10" s="1"/>
  <c r="P51" i="10" s="1"/>
  <c r="P53" i="10" s="1"/>
  <c r="E11" i="16" s="1"/>
  <c r="E17" i="10"/>
  <c r="S13" i="10"/>
  <c r="X13" i="10"/>
  <c r="U46" i="10"/>
  <c r="X39" i="10" s="1"/>
  <c r="AB48" i="10"/>
  <c r="AB51" i="10" s="1"/>
  <c r="AB47" i="10"/>
  <c r="C45" i="10"/>
  <c r="F12" i="10"/>
  <c r="X53" i="10"/>
  <c r="G11" i="16" s="1"/>
  <c r="X52" i="10"/>
  <c r="X46" i="10"/>
  <c r="X42" i="10"/>
  <c r="G22" i="10"/>
  <c r="G21" i="10" l="1"/>
  <c r="G26" i="10" s="1"/>
  <c r="G25" i="10" s="1"/>
  <c r="G28" i="10" s="1"/>
  <c r="G30" i="10"/>
  <c r="G31" i="10" s="1"/>
  <c r="G29" i="10" s="1"/>
  <c r="G33" i="10" s="1"/>
  <c r="G34" i="10" s="1"/>
  <c r="T38" i="10"/>
  <c r="S46" i="10"/>
  <c r="X47" i="10"/>
  <c r="X48" i="10"/>
  <c r="X51" i="10" s="1"/>
  <c r="Q46" i="10"/>
  <c r="T13" i="10"/>
  <c r="F42" i="10"/>
  <c r="F53" i="10"/>
  <c r="C11" i="16" s="1"/>
  <c r="F39" i="10"/>
  <c r="F45" i="10"/>
  <c r="F52" i="10"/>
  <c r="K53" i="10"/>
  <c r="D11" i="16" s="1"/>
  <c r="K39" i="10"/>
  <c r="K52" i="10"/>
  <c r="K45" i="10"/>
  <c r="K42" i="10"/>
  <c r="F48" i="10" l="1"/>
  <c r="F51" i="10" s="1"/>
  <c r="F47" i="10"/>
  <c r="K47" i="10"/>
  <c r="K48" i="10"/>
  <c r="K51" i="10" s="1"/>
  <c r="T42" i="10"/>
  <c r="T52" i="10"/>
  <c r="T53" i="10"/>
  <c r="F11" i="16" s="1"/>
  <c r="T39" i="10"/>
  <c r="T46" i="10"/>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<sst xmlns="http://schemas.openxmlformats.org/spreadsheetml/2006/main" count="570" uniqueCount="508">
  <si>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</si>
  <si>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</si>
  <si>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</si>
  <si>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</si>
  <si>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</si>
  <si>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</si>
  <si>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</si>
  <si>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</si>
  <si>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</si>
  <si>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</si>
  <si>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</si>
  <si>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</si>
  <si>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</si>
  <si>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</si>
  <si>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</si>
  <si>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</si>
  <si>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</si>
  <si>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</si>
  <si>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</si>
  <si>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</si>
  <si>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</si>
  <si>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</si>
  <si>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</si>
  <si>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</si>
  <si>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</si>
  <si>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</si>
  <si>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</si>
  <si>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</si>
  <si>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</si>
  <si>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</si>
  <si>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</si>
  <si>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</si>
  <si>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</si>
  <si>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</si>
  <si>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</si>
  <si>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</si>
  <si>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</si>
  <si>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</si>
  <si>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</si>
  <si>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</si>
  <si>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</si>
  <si>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</si>
  <si>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</si>
  <si>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</si>
  <si>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</si>
  <si>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</si>
  <si>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</si>
  <si>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</si>
  <si>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</si>
  <si>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</si>
  <si>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</si>
  <si>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</si>
  <si>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</si>
  <si>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</si>
  <si>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</si>
  <si>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</si>
  <si>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</si>
  <si>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</si>
  <si>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</si>
  <si>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</si>
  <si>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</si>
  <si>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</si>
  <si>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</si>
  <si>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</si>
  <si>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</si>
  <si>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</si>
  <si>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</si>
  <si>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</si>
  <si>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</si>
  <si>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</si>
  <si>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</si>
  <si>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</si>
  <si>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</si>
  <si>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</si>
  <si>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</si>
  <si>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</si>
  <si>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</si>
  <si>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</si>
  <si>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</si>
  <si>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</si>
  <si>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</si>
  <si>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</si>
  <si>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</si>
  <si>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</si>
  <si>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</si>
  <si>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</si>
  <si>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</si>
  <si>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</si>
  <si>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</si>
  <si>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</si>
  <si>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</si>
  <si>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</si>
  <si>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</si>
  <si>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</si>
  <si>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</si>
  <si>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</si>
  <si>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</si>
  <si>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</si>
  <si>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</si>
  <si>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</si>
  <si>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</si>
  <si>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</si>
  <si>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</si>
  <si>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</si>
  <si>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</si>
  <si>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</si>
  <si>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</si>
  <si>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</si>
  <si>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</si>
  <si>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</si>
  <si>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</si>
  <si>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</si>
  <si>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</si>
  <si>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</si>
  <si>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</si>
  <si>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</si>
  <si>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</si>
  <si>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</si>
  <si>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</si>
  <si>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</si>
  <si>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</si>
  <si>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</si>
  <si>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</si>
  <si>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</si>
  <si>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</si>
  <si>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</si>
  <si>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</si>
  <si>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</si>
  <si>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</si>
  <si>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</si>
  <si>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</si>
  <si>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</si>
  <si>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</si>
  <si>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</si>
  <si>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</si>
  <si>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</si>
  <si>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</si>
  <si>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</si>
  <si>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</si>
  <si>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</si>
  <si>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</si>
  <si>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</si>
  <si>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</si>
  <si>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</si>
  <si>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</si>
  <si>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</si>
  <si>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</si>
  <si>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</si>
  <si>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</si>
  <si>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</si>
  <si>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</si>
  <si>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</si>
  <si>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</si>
  <si>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</si>
  <si>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</si>
  <si>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</si>
  <si>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</si>
  <si>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</si>
  <si>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</si>
  <si>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</si>
  <si>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</si>
  <si>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</si>
  <si>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</si>
  <si>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</si>
  <si>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</si>
  <si>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</si>
  <si>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</si>
  <si>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</si>
  <si>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</si>
  <si>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</si>
  <si>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</si>
  <si>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</si>
  <si>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</si>
  <si>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</si>
  <si>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</si>
  <si>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</si>
  <si>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</si>
  <si>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</si>
  <si>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</si>
  <si>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</si>
  <si>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</si>
  <si>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</si>
  <si>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</si>
  <si>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</si>
  <si>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</si>
  <si>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</si>
  <si>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</si>
  <si>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</si>
  <si>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</si>
  <si>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</si>
  <si>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</si>
  <si>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</si>
  <si>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</si>
  <si>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</si>
  <si>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</si>
  <si>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</si>
  <si>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</si>
  <si>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</si>
  <si>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</si>
  <si>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</si>
  <si>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</si>
  <si>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</si>
  <si>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</si>
  <si>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</si>
  <si>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</si>
  <si>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</si>
  <si>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</si>
  <si>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</si>
  <si>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</si>
  <si>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</si>
  <si>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</si>
  <si>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</si>
  <si>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</si>
  <si>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</si>
  <si>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</si>
  <si>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</si>
  <si>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</si>
  <si>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</si>
  <si>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</si>
  <si>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</si>
  <si>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</si>
  <si>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</si>
  <si>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</si>
  <si>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</si>
  <si>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</si>
  <si>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</si>
  <si>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</si>
  <si>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</si>
  <si>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</si>
  <si>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</si>
  <si>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</si>
  <si>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</si>
  <si>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</si>
  <si>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</si>
  <si>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</si>
  <si>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</si>
  <si>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</si>
  <si>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</si>
  <si>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</si>
  <si>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</si>
  <si>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</si>
  <si>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</si>
  <si>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</si>
  <si>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</si>
  <si>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</si>
  <si>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</si>
  <si>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</si>
  <si>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</si>
  <si>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</si>
  <si>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</si>
  <si>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</si>
  <si>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</si>
  <si>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</si>
  <si>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</si>
  <si>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</si>
  <si>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</si>
  <si>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</si>
  <si>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</si>
  <si>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</si>
  <si>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</si>
  <si>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</si>
  <si>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</si>
  <si>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</si>
  <si>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</si>
  <si>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</si>
  <si>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</si>
  <si>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</si>
  <si>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</si>
  <si>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</si>
  <si>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</si>
  <si>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</si>
  <si>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</si>
  <si>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</si>
  <si>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</si>
  <si>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</si>
  <si>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</si>
  <si>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</si>
  <si>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</si>
  <si>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</si>
  <si>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</si>
  <si>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</si>
  <si>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</si>
  <si>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</si>
  <si>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</si>
  <si>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</si>
  <si>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</si>
  <si>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</si>
  <si>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</si>
  <si>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</si>
  <si>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</si>
  <si>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</si>
  <si>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</si>
  <si>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</si>
  <si>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</si>
  <si>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</si>
  <si>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</si>
  <si>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</si>
  <si>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</si>
  <si>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</si>
  <si>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</si>
  <si>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</si>
  <si>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</si>
  <si>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</si>
  <si>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</si>
  <si>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</si>
  <si>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</si>
  <si>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</si>
  <si>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</si>
  <si>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</si>
  <si>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</si>
  <si>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</si>
  <si>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</si>
  <si>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</si>
  <si>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</si>
  <si>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</si>
  <si>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</si>
  <si>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</si>
  <si>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</si>
  <si>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</si>
  <si>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</si>
  <si>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</si>
  <si>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</si>
  <si>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</si>
  <si>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</si>
  <si>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</si>
  <si>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</si>
  <si>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</si>
  <si>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</si>
  <si>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</si>
  <si>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</si>
  <si>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</si>
  <si>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</si>
  <si>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</si>
  <si>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</si>
  <si>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</si>
  <si>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</si>
  <si>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</si>
  <si>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</si>
  <si>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</si>
  <si>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</si>
  <si>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</si>
  <si>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</si>
  <si>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</si>
  <si>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</si>
  <si>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</si>
  <si>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</si>
  <si>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</si>
  <si>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</si>
  <si>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</si>
  <si>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</si>
  <si>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</si>
  <si>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</si>
  <si>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</si>
  <si>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</si>
  <si>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</si>
  <si>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</si>
  <si>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</si>
  <si>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</si>
  <si>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</si>
  <si>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</si>
  <si>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</si>
  <si>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</si>
  <si>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</si>
  <si>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</si>
  <si>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</si>
  <si>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</si>
  <si>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</si>
  <si>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</si>
  <si>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</si>
  <si>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</si>
  <si>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</si>
  <si>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</si>
  <si>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</si>
  <si>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</si>
  <si>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</si>
  <si>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</si>
  <si>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</si>
  <si>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</si>
  <si>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</si>
  <si>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</si>
  <si>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</si>
  <si>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</si>
  <si>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</si>
  <si>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</si>
  <si>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</si>
  <si>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</si>
  <si>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</si>
  <si>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</si>
  <si>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</si>
  <si>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</si>
  <si>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</si>
  <si>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</si>
  <si>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</si>
  <si>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</si>
  <si>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</si>
  <si>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</si>
  <si>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</si>
  <si>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</si>
  <si>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</si>
  <si>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</si>
  <si>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</si>
  <si>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</si>
  <si>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</si>
  <si>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</si>
  <si>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</si>
  <si>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</si>
  <si>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</si>
  <si>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</si>
  <si>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</si>
  <si>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</si>
  <si>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</si>
  <si>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</si>
  <si>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</si>
  <si>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</si>
  <si>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</si>
  <si>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</si>
  <si>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</si>
  <si>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</si>
  <si>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</si>
  <si>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</si>
  <si>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</si>
  <si>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</si>
  <si>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</si>
  <si>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</si>
  <si>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</si>
  <si>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</si>
  <si>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</si>
  <si>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</si>
  <si>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</si>
  <si>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</si>
  <si>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</si>
  <si>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</si>
  <si>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</si>
  <si>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</si>
  <si>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</si>
  <si>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</si>
  <si>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</si>
  <si>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</si>
  <si>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</si>
  <si>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</si>
  <si>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</si>
  <si>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</si>
  <si>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</si>
  <si>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</si>
  <si>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</si>
  <si>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</si>
  <si>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</si>
  <si>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</si>
  <si>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</si>
  <si>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</si>
  <si>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</si>
  <si>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</si>
  <si>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</si>
  <si>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</si>
  <si>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</si>
  <si>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</si>
  <si>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</si>
  <si>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</si>
  <si>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</si>
  <si>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</si>
  <si>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</si>
  <si>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</si>
  <si>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</si>
  <si>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</si>
  <si>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</si>
  <si>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</si>
  <si>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</si>
  <si>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</si>
  <si>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</si>
  <si>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</si>
  <si>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</si>
  <si>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</si>
  <si>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</si>
  <si>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</si>
  <si>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</si>
  <si>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</si>
  <si>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</si>
  <si>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</si>
  <si>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</si>
  <si>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</si>
  <si>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</si>
  <si>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</si>
  <si>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</si>
  <si>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</si>
  <si>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</si>
  <si>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</si>
  <si>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</si>
  <si>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</si>
  <si>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</si>
  <si>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</si>
  <si>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</si>
  <si>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</si>
  <si>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</si>
  <si>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</si>
  <si>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</si>
  <si>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</si>
  <si>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</si>
  <si>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</si>
  <si>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</si>
  <si>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</si>
  <si>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</si>
  <si>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</si>
  <si>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</si>
  <si>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</si>
  <si>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</si>
  <si>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61357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</si>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</sst>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3396706</v>
      </c>
      <c r="Q5" s="219">
        <f>SUM('Pt 2 Premium and Claims'!Q$5,'Pt 2 Premium and Claims'!Q$6,-'Pt 2 Premium and Claims'!Q$7,-'Pt 2 Premium and Claims'!Q$13,'Pt 2 Premium and Claims'!Q$14)</f>
        <v>3395879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24550102</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96</v>
      </c>
      <c r="Q7" s="223">
        <v>96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694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51204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3361879</v>
      </c>
      <c r="Q12" s="219">
        <f>'Pt 2 Premium and Claims'!Q$54</f>
        <v>3345837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24552041</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495526</v>
      </c>
      <c r="Q13" s="223">
        <v>494495</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4859</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87764</v>
      </c>
      <c r="Q14" s="223">
        <v>113842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8221</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-96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-60</v>
      </c>
      <c r="E25" s="223">
        <v>-60</v>
      </c>
      <c r="F25" s="223"/>
      <c r="G25" s="223"/>
      <c r="H25" s="223"/>
      <c r="I25" s="222">
        <v>0</v>
      </c>
      <c r="J25" s="222">
        <v>-22</v>
      </c>
      <c r="K25" s="223">
        <v>-22</v>
      </c>
      <c r="L25" s="223"/>
      <c r="M25" s="223"/>
      <c r="N25" s="223"/>
      <c r="O25" s="222"/>
      <c r="P25" s="222">
        <v>-67971</v>
      </c>
      <c r="Q25" s="223">
        <v>-67971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-579760</v>
      </c>
      <c r="AU25" s="226">
        <v>0</v>
      </c>
      <c r="AV25" s="226">
        <v>2195489</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956</v>
      </c>
      <c r="Q26" s="223">
        <v>956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44460</v>
      </c>
      <c r="Q27" s="223">
        <v>44460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2608</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6213</v>
      </c>
      <c r="Q28" s="223">
        <v>6213</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33297</v>
      </c>
      <c r="AU28" s="226">
        <v>0</v>
      </c>
      <c r="AV28" s="226">
        <v>195599</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10521</v>
      </c>
      <c r="Q30" s="223">
        <v>10521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76160</v>
      </c>
      <c r="AU30" s="226">
        <v>0</v>
      </c>
      <c r="AV30" s="226">
        <v>5114</v>
      </c>
      <c r="AW30" s="303"/>
    </row>
    <row r="31" spans="1:49" x14ac:dyDescent="0.2">
      <c r="B31" s="248" t="s">
        <v>247</v>
      </c>
      <c r="C31" s="209"/>
      <c r="D31" s="222">
        <v>0</v>
      </c>
      <c r="E31" s="223">
        <v>0</v>
      </c>
      <c r="F31" s="223"/>
      <c r="G31" s="223"/>
      <c r="H31" s="223"/>
      <c r="I31" s="222">
        <v>0</v>
      </c>
      <c r="J31" s="222">
        <v>0</v>
      </c>
      <c r="K31" s="223">
        <v>0</v>
      </c>
      <c r="L31" s="223"/>
      <c r="M31" s="223"/>
      <c r="N31" s="223"/>
      <c r="O31" s="222"/>
      <c r="P31" s="222">
        <v>58402</v>
      </c>
      <c r="Q31" s="223">
        <v>58402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422110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18915</v>
      </c>
      <c r="Q34" s="223">
        <v>18915</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30</v>
      </c>
      <c r="Q35" s="223">
        <v>30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16</v>
      </c>
      <c r="AU35" s="226">
        <v>0</v>
      </c>
      <c r="AV35" s="226">
        <v>246</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37</v>
      </c>
      <c r="E37" s="231">
        <v>37</v>
      </c>
      <c r="F37" s="231"/>
      <c r="G37" s="231"/>
      <c r="H37" s="231"/>
      <c r="I37" s="230">
        <v>0</v>
      </c>
      <c r="J37" s="230">
        <v>14</v>
      </c>
      <c r="K37" s="231">
        <v>14</v>
      </c>
      <c r="L37" s="231"/>
      <c r="M37" s="231"/>
      <c r="N37" s="231"/>
      <c r="O37" s="230"/>
      <c r="P37" s="230">
        <v>1941</v>
      </c>
      <c r="Q37" s="231">
        <v>1946</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239</v>
      </c>
      <c r="AU37" s="232">
        <v>0</v>
      </c>
      <c r="AV37" s="232">
        <v>205270</v>
      </c>
      <c r="AW37" s="302"/>
    </row>
    <row r="38" spans="1:49" x14ac:dyDescent="0.2">
      <c r="B38" s="245" t="s">
        <v>254</v>
      </c>
      <c r="C38" s="209" t="s">
        <v>16</v>
      </c>
      <c r="D38" s="222">
        <v>37</v>
      </c>
      <c r="E38" s="223">
        <v>37</v>
      </c>
      <c r="F38" s="223"/>
      <c r="G38" s="223"/>
      <c r="H38" s="223"/>
      <c r="I38" s="222">
        <v>0</v>
      </c>
      <c r="J38" s="222">
        <v>14</v>
      </c>
      <c r="K38" s="223">
        <v>14</v>
      </c>
      <c r="L38" s="223"/>
      <c r="M38" s="223"/>
      <c r="N38" s="223"/>
      <c r="O38" s="222"/>
      <c r="P38" s="222">
        <v>467</v>
      </c>
      <c r="Q38" s="223">
        <v>468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29358</v>
      </c>
      <c r="AW38" s="303"/>
    </row>
    <row r="39" spans="1:49" x14ac:dyDescent="0.2">
      <c r="B39" s="248" t="s">
        <v>255</v>
      </c>
      <c r="C39" s="209" t="s">
        <v>17</v>
      </c>
      <c r="D39" s="222">
        <v>37</v>
      </c>
      <c r="E39" s="223">
        <v>37</v>
      </c>
      <c r="F39" s="223"/>
      <c r="G39" s="223"/>
      <c r="H39" s="223"/>
      <c r="I39" s="222">
        <v>0</v>
      </c>
      <c r="J39" s="222">
        <v>14</v>
      </c>
      <c r="K39" s="223">
        <v>14</v>
      </c>
      <c r="L39" s="223"/>
      <c r="M39" s="223"/>
      <c r="N39" s="223"/>
      <c r="O39" s="222"/>
      <c r="P39" s="222">
        <v>-88</v>
      </c>
      <c r="Q39" s="223">
        <v>-88</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188</v>
      </c>
      <c r="AU39" s="226">
        <v>0</v>
      </c>
      <c r="AV39" s="226">
        <v>4993</v>
      </c>
      <c r="AW39" s="303"/>
    </row>
    <row r="40" spans="1:49" x14ac:dyDescent="0.2">
      <c r="B40" s="248" t="s">
        <v>256</v>
      </c>
      <c r="C40" s="209" t="s">
        <v>38</v>
      </c>
      <c r="D40" s="222">
        <v>37</v>
      </c>
      <c r="E40" s="223">
        <v>37</v>
      </c>
      <c r="F40" s="223"/>
      <c r="G40" s="223"/>
      <c r="H40" s="223"/>
      <c r="I40" s="222">
        <v>0</v>
      </c>
      <c r="J40" s="222">
        <v>14</v>
      </c>
      <c r="K40" s="223">
        <v>14</v>
      </c>
      <c r="L40" s="223"/>
      <c r="M40" s="223"/>
      <c r="N40" s="223"/>
      <c r="O40" s="222"/>
      <c r="P40" s="222">
        <v>101</v>
      </c>
      <c r="Q40" s="223">
        <v>101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700</v>
      </c>
      <c r="AU40" s="226">
        <v>0</v>
      </c>
      <c r="AV40" s="226">
        <v>32158</v>
      </c>
      <c r="AW40" s="303"/>
    </row>
    <row r="41" spans="1:49" s="11" customFormat="1" ht="25.5" x14ac:dyDescent="0.2">
      <c r="A41" s="41"/>
      <c r="B41" s="248" t="s">
        <v>257</v>
      </c>
      <c r="C41" s="209" t="s">
        <v>129</v>
      </c>
      <c r="D41" s="222">
        <v>37</v>
      </c>
      <c r="E41" s="223">
        <v>37</v>
      </c>
      <c r="F41" s="223"/>
      <c r="G41" s="223"/>
      <c r="H41" s="223"/>
      <c r="I41" s="222">
        <v>0</v>
      </c>
      <c r="J41" s="222">
        <v>14</v>
      </c>
      <c r="K41" s="223">
        <v>14</v>
      </c>
      <c r="L41" s="223"/>
      <c r="M41" s="223"/>
      <c r="N41" s="223"/>
      <c r="O41" s="222"/>
      <c r="P41" s="222">
        <v>948</v>
      </c>
      <c r="Q41" s="223">
        <v>948</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3559</v>
      </c>
      <c r="AU41" s="226">
        <v>0</v>
      </c>
      <c r="AV41" s="226">
        <v>91185</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95</v>
      </c>
      <c r="Q42" s="223">
        <v>95</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3721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24949</v>
      </c>
      <c r="Q44" s="231">
        <v>25102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27138</v>
      </c>
      <c r="AU44" s="232">
        <v>0</v>
      </c>
      <c r="AV44" s="232">
        <v>1020650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453</v>
      </c>
      <c r="Q45" s="223">
        <v>453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1303</v>
      </c>
      <c r="AU45" s="226">
        <v>0</v>
      </c>
      <c r="AV45" s="226">
        <v>-886</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13176</v>
      </c>
      <c r="Q46" s="223">
        <v>13176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108853</v>
      </c>
      <c r="AU46" s="226">
        <v>0</v>
      </c>
      <c r="AV46" s="226">
        <v>326949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75617</v>
      </c>
      <c r="Q47" s="223">
        <v>75617</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427073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65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167</v>
      </c>
      <c r="AW50" s="303"/>
    </row>
    <row r="51" spans="2:49" x14ac:dyDescent="0.2">
      <c r="B51" s="245" t="s">
        <v>266</v>
      </c>
      <c r="C51" s="209"/>
      <c r="D51" s="222">
        <v>0</v>
      </c>
      <c r="E51" s="223">
        <v>0</v>
      </c>
      <c r="F51" s="223"/>
      <c r="G51" s="223"/>
      <c r="H51" s="223"/>
      <c r="I51" s="222">
        <v>0</v>
      </c>
      <c r="J51" s="222">
        <v>0</v>
      </c>
      <c r="K51" s="223">
        <v>0</v>
      </c>
      <c r="L51" s="223"/>
      <c r="M51" s="223"/>
      <c r="N51" s="223"/>
      <c r="O51" s="222"/>
      <c r="P51" s="222">
        <v>30899</v>
      </c>
      <c r="Q51" s="223">
        <v>30899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730151</v>
      </c>
      <c r="AU51" s="226">
        <v>0</v>
      </c>
      <c r="AV51" s="226">
        <v>5280412</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149</v>
      </c>
      <c r="Q53" s="223">
        <v>149</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68</v>
      </c>
      <c r="AU53" s="226">
        <v>0</v>
      </c>
      <c r="AV53" s="226">
        <v>10961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13938498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250</v>
      </c>
      <c r="Q56" s="235">
        <v>250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427</v>
      </c>
      <c r="AU56" s="236">
        <v>0</v>
      </c>
      <c r="AV56" s="236">
        <v>27629</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465</v>
      </c>
      <c r="Q57" s="238">
        <v>465</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647</v>
      </c>
      <c r="AU57" s="239">
        <v>0</v>
      </c>
      <c r="AV57" s="239">
        <v>57698</v>
      </c>
      <c r="AW57" s="295"/>
    </row>
    <row r="58" spans="2:49" x14ac:dyDescent="0.2">
      <c r="B58" s="251" t="s">
        <v>273</v>
      </c>
      <c r="C58" s="209" t="s">
        <v>26</v>
      </c>
      <c r="D58" s="315"/>
      <c r="E58" s="316"/>
      <c r="F58" s="316"/>
      <c r="G58" s="316"/>
      <c r="H58" s="316"/>
      <c r="I58" s="315"/>
      <c r="J58" s="237">
        <v>0</v>
      </c>
      <c r="K58" s="238">
        <v>0</v>
      </c>
      <c r="L58" s="238"/>
      <c r="M58" s="238"/>
      <c r="N58" s="238"/>
      <c r="O58" s="237"/>
      <c r="P58" s="237">
        <v>3</v>
      </c>
      <c r="Q58" s="238">
        <v>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3</v>
      </c>
      <c r="AU58" s="239">
        <v>0</v>
      </c>
      <c r="AV58" s="239">
        <v>119</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5276</v>
      </c>
      <c r="Q59" s="238">
        <v>5276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6554</v>
      </c>
      <c r="AU59" s="239">
        <v>0</v>
      </c>
      <c r="AV59" s="239">
        <v>702527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439.66666666666669</v>
      </c>
      <c r="Q60" s="241">
        <f>Q$59/12</f>
        <v>439.66666666666669</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546.16666666666663</v>
      </c>
      <c r="AU60" s="242">
        <f>AU$59/12</f>
        <v>0</v>
      </c>
      <c r="AV60" s="242">
        <f>AV$59/12</f>
        <v>58543.916666666664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581040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191476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-809</v>
      </c>
      <c r="E5" s="332">
        <v>-809</v>
      </c>
      <c r="F5" s="332"/>
      <c r="G5" s="334"/>
      <c r="H5" s="334"/>
      <c r="I5" s="331">
        <v>0</v>
      </c>
      <c r="J5" s="331">
        <v>0</v>
      </c>
      <c r="K5" s="332">
        <v>0</v>
      </c>
      <c r="L5" s="332"/>
      <c r="M5" s="332"/>
      <c r="N5" s="332"/>
      <c r="O5" s="331"/>
      <c r="P5" s="331">
        <v>3438674</v>
      </c>
      <c r="Q5" s="332">
        <v>3200677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24696232</v>
      </c>
      <c r="AU5" s="333">
        <v>0</v>
      </c>
      <c r="AV5" s="375"/>
      <c r="AW5" s="379"/>
    </row>
    <row r="6" spans="2:49" x14ac:dyDescent="0.2">
      <c r="B6" s="349" t="s">
        <v>278</v>
      </c>
      <c r="C6" s="337" t="s">
        <v>8</v>
      </c>
      <c r="D6" s="324">
        <v>809</v>
      </c>
      <c r="E6" s="325">
        <v>809</v>
      </c>
      <c r="F6" s="325"/>
      <c r="G6" s="326"/>
      <c r="H6" s="326"/>
      <c r="I6" s="324">
        <v>0</v>
      </c>
      <c r="J6" s="324">
        <v>0</v>
      </c>
      <c r="K6" s="325">
        <v>0</v>
      </c>
      <c r="L6" s="325"/>
      <c r="M6" s="325"/>
      <c r="N6" s="325"/>
      <c r="O6" s="324"/>
      <c r="P6" s="324">
        <v>195202</v>
      </c>
      <c r="Q6" s="325">
        <v>195202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319242</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237170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465327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3296245</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23894341</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3293011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280589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3298576</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52254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219914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2640876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2501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2501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1902</v>
      </c>
      <c r="Q36" s="325">
        <v>1902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9</v>
      </c>
      <c r="Q45" s="325">
        <v>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20553</v>
      </c>
      <c r="Q49" s="325">
        <v>36</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24904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3361879</v>
      </c>
      <c r="Q54" s="329">
        <f>Q24+Q27+Q31+Q35-Q36+Q39+Q42+Q45+Q46-Q49+Q51+Q52+Q53</f>
        <v>3345837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24552041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177941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19724</v>
      </c>
      <c r="D6" s="404">
        <v>-1720</v>
      </c>
      <c r="E6" s="406">
        <f>SUM('Pt 1 Summary of Data'!E$12,'Pt 1 Summary of Data'!E$22)+SUM('Pt 1 Summary of Data'!G$12,'Pt 1 Summary of Data'!G$22)-SUM('Pt 1 Summary of Data'!H$12,'Pt 1 Summary of Data'!H$22)</f>
        <v>0</v>
      </c>
      <c r="F6" s="406">
        <f>SUM(C6:E6)</f>
        <v>18004</v>
      </c>
      <c r="G6" s="407">
        <f>SUM('Pt 1 Summary of Data'!I$12,'Pt 1 Summary of Data'!I$22)</f>
        <v>0</v>
      </c>
      <c r="H6" s="403">
        <v>0</v>
      </c>
      <c r="I6" s="404">
        <v>-5</v>
      </c>
      <c r="J6" s="406">
        <f>SUM('Pt 1 Summary of Data'!K$12,'Pt 1 Summary of Data'!K$22)+SUM('Pt 1 Summary of Data'!M$12,'Pt 1 Summary of Data'!M$22)-SUM('Pt 1 Summary of Data'!N$12,'Pt 1 Summary of Data'!N$22)</f>
        <v>0</v>
      </c>
      <c r="K6" s="406">
        <f>SUM(H6:J6)</f>
        <v>-5</v>
      </c>
      <c r="L6" s="407">
        <f>SUM('Pt 1 Summary of Data'!O$12,'Pt 1 Summary of Data'!O$22)</f>
        <v>0</v>
      </c>
      <c r="M6" s="403">
        <v>1572712</v>
      </c>
      <c r="N6" s="404">
        <v>2131357</v>
      </c>
      <c r="O6" s="406">
        <f>SUM('Pt 1 Summary of Data'!Q$12,'Pt 1 Summary of Data'!Q$22)+SUM('Pt 1 Summary of Data'!S$12,'Pt 1 Summary of Data'!S$22)-SUM('Pt 1 Summary of Data'!T$12,'Pt 1 Summary of Data'!T$22)</f>
        <v>3345837</v>
      </c>
      <c r="P6" s="406">
        <f>SUM(M6:O6)</f>
        <v>7049906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41</v>
      </c>
      <c r="D7" s="404">
        <v>0</v>
      </c>
      <c r="E7" s="406">
        <f>SUM('Pt 1 Summary of Data'!E$37:E$41)+SUM('Pt 1 Summary of Data'!G$37:G$41)-SUM('Pt 1 Summary of Data'!H$37:H$41)+MAX(0,MIN('Pt 1 Summary of Data'!E$42+'Pt 1 Summary of Data'!G$42-'Pt 1 Summary of Data'!H$42,0.3%*('Pt 1 Summary of Data'!E$5+'Pt 1 Summary of Data'!G$5-'Pt 1 Summary of Data'!H$5-SUM(E$9:E$11))))</f>
        <v>185</v>
      </c>
      <c r="F7" s="406">
        <f>SUM(C7:E7)</f>
        <v>226</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70</v>
      </c>
      <c r="K7" s="406">
        <f>SUM(H7:J7)</f>
        <v>70</v>
      </c>
      <c r="L7" s="407">
        <f>SUM('Pt 1 Summary of Data'!O$37:O$41)+MAX(0,MIN(VALUE('Pt 1 Summary of Data'!O$42),0.3%*('Pt 1 Summary of Data'!O$5-L$10)))</f>
        <v>0</v>
      </c>
      <c r="M7" s="403">
        <v>5756</v>
      </c>
      <c r="N7" s="404">
        <v>2107</v>
      </c>
      <c r="O7" s="406">
        <f>SUM('Pt 1 Summary of Data'!Q$37:Q$41)+SUM('Pt 1 Summary of Data'!S$37:S$41)-SUM('Pt 1 Summary of Data'!T$37:T$41)+MAX(0,MIN('Pt 1 Summary of Data'!Q$42+'Pt 1 Summary of Data'!S$42-'Pt 1 Summary of Data'!T$42,0.3%*('Pt 1 Summary of Data'!Q$5+'Pt 1 Summary of Data'!S$5-'Pt 1 Summary of Data'!T$5)))</f>
        <v>3470</v>
      </c>
      <c r="P7" s="406">
        <f>SUM(M7:O7)</f>
        <v>11333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19765</v>
      </c>
      <c r="D12" s="406">
        <f>SUM(D$6:D$7) - SUM(D$8:D$11)+IF(AND(OR('Company Information'!$C$12="District of Columbia",'Company Information'!$C$12="Massachusetts",'Company Information'!$C$12="Vermont"),SUM($C$6:$F$11,$C$15:$F$16,$C$38:$D$38)&lt;&gt;0),SUM(I$6:I$7) - SUM(I$10:I$11),0)</f>
        <v>-1720</v>
      </c>
      <c r="E12" s="406">
        <f>SUM(E$6:E$7)-SUM(E$8:E$11)+IF(AND(OR('Company Information'!$C$12="District of Columbia",'Company Information'!$C$12="Massachusetts",'Company Information'!$C$12="Vermont"),SUM($C$6:$F$11,$C$15:$F$16,$C$38:$D$38)&lt;&gt;0),SUM(J$6:J$7)-SUM(J$10:J$11),0)</f>
        <v>185</v>
      </c>
      <c r="F12" s="406">
        <f>IFERROR(SUM(C$12:E$12)+C$17*MAX(0,E$50-C$50)+D$17*MAX(0,E$50-D$50),0)</f>
        <v>18230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-5</v>
      </c>
      <c r="J12" s="406">
        <f>SUM(J$6:J$7)-SUM(J$10:J$11)+IF(AND(OR('Company Information'!$C$12="District of Columbia",'Company Information'!$C$12="Massachusetts",'Company Information'!$C$12="Vermont"),SUM($H$6:$K$11,$H$15:$K$16,$H$38:$I$38)&lt;&gt;0),SUM(E$6:E$7)-SUM(E$8:E$11),0)</f>
        <v>70</v>
      </c>
      <c r="K12" s="406">
        <f>IFERROR(SUM(H$12:J$12)+H$17*MAX(0,J$50-H$50)+I$17*MAX(0,J$50-I$50),0)</f>
        <v>65</v>
      </c>
      <c r="L12" s="453"/>
      <c r="M12" s="405">
        <f>SUM(M$6:M$7)</f>
        <v>1578468</v>
      </c>
      <c r="N12" s="406">
        <f>SUM(N$6:N$7)</f>
        <v>2133464</v>
      </c>
      <c r="O12" s="406">
        <f>SUM(O$6:O$7)</f>
        <v>3349307</v>
      </c>
      <c r="P12" s="406">
        <f>SUM(M$12:O$12)+M$17*MAX(0,O$50-M$50)+N$17*MAX(0,O$50-N$50)</f>
        <v>7061239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45377</v>
      </c>
      <c r="D15" s="409">
        <v>0</v>
      </c>
      <c r="E15" s="401">
        <f>SUM('Pt 1 Summary of Data'!E$5:E$7)+SUM('Pt 1 Summary of Data'!G$5:G$7)-SUM('Pt 1 Summary of Data'!H$5:H$7)-SUM(E$9:E$11)</f>
        <v>0</v>
      </c>
      <c r="F15" s="401">
        <f>SUM(C15:E15)</f>
        <v>45377</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2310010</v>
      </c>
      <c r="N15" s="409">
        <v>2579342</v>
      </c>
      <c r="O15" s="401">
        <f>SUM('Pt 1 Summary of Data'!Q$5:Q$7)+SUM('Pt 1 Summary of Data'!S$5:S$7)-SUM('Pt 1 Summary of Data'!T$5:T$7)+N$56</f>
        <v>3395975</v>
      </c>
      <c r="P15" s="401">
        <f>SUM(M15:O15)</f>
        <v>8285327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8297</v>
      </c>
      <c r="D16" s="404">
        <v>2160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-60</v>
      </c>
      <c r="F16" s="406">
        <f>SUM(C16:E16)</f>
        <v>10397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-22</v>
      </c>
      <c r="K16" s="406">
        <f>SUM(H16:J16)</f>
        <v>-20</v>
      </c>
      <c r="L16" s="407">
        <f>SUM('Pt 1 Summary of Data'!O$25:O$28,'Pt 1 Summary of Data'!O$30,'Pt 1 Summary of Data'!O$34:O$35)+IF('Company Information'!$C$15="No",IF(MAX('Pt 1 Summary of Data'!O$31:O$32)=0,MIN('Pt 1 Summary of Data'!O$31:O$32),MAX('Pt 1 Summary of Data'!O$31:O$32)),SUM('Pt 1 Summary of Data'!O$31:O$32))</f>
        <v>0</v>
      </c>
      <c r="M16" s="403">
        <v>212679</v>
      </c>
      <c r="N16" s="404">
        <v>207014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71526</v>
      </c>
      <c r="P16" s="406">
        <f>SUM(M16:O16)</f>
        <v>491219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37080</v>
      </c>
      <c r="D17" s="406">
        <f>D$15-D$16+IF(AND(OR('Company Information'!$C$12="District of Columbia",'Company Information'!$C$12="Massachusetts",'Company Information'!$C$12="Vermont"),SUM($C$6:$F$11,$C$15:$F$16,$C$38:$D$38)&lt;&gt;0),I$15-I$16,0)</f>
        <v>-2160</v>
      </c>
      <c r="E17" s="406">
        <f>E$15-E$16+IF(AND(OR('Company Information'!$C$12="District of Columbia",'Company Information'!$C$12="Massachusetts",'Company Information'!$C$12="Vermont"),SUM($C$6:$F$11,$C$15:$F$16,$C$38:$D$38)&lt;&gt;0),J$15-J$16,0)</f>
        <v>60</v>
      </c>
      <c r="F17" s="406">
        <f>F$15-F$16+IF(AND(OR('Company Information'!$C$12="District of Columbia",'Company Information'!$C$12="Massachusetts",'Company Information'!$C$12="Vermont"),SUM($C$6:$F$11,$C$15:$F$16,$C$38:$D$38)&lt;&gt;0),K$15-K$16,0)</f>
        <v>34980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-2</v>
      </c>
      <c r="J17" s="406">
        <f>J$15-J$16+IF(AND(OR('Company Information'!$C$12="District of Columbia",'Company Information'!$C$12="Massachusetts",'Company Information'!$C$12="Vermont"),SUM($H$6:$K$11,$H$15:$K$16,$H$38:$I$38)&lt;&gt;0),E$15-E$16,0)</f>
        <v>22</v>
      </c>
      <c r="K17" s="406">
        <f>K$15-K$16+IF(AND(OR('Company Information'!$C$12="District of Columbia",'Company Information'!$C$12="Massachusetts",'Company Information'!$C$12="Vermont"),SUM($H$6:$K$11,$H$15:$K$16,$H$38:$I$38)&lt;&gt;0),F$15-F$16,0)</f>
        <v>20</v>
      </c>
      <c r="L17" s="456"/>
      <c r="M17" s="405">
        <f>M$15-M$16</f>
        <v>2097331</v>
      </c>
      <c r="N17" s="406">
        <f>N$15-N$16</f>
        <v>2372328</v>
      </c>
      <c r="O17" s="406">
        <f>O$15-O$16</f>
        <v>3324449</v>
      </c>
      <c r="P17" s="406">
        <f>P$15-P$16</f>
        <v>7794108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261.91669999999999</v>
      </c>
      <c r="N38" s="411">
        <v>355.58330000000001</v>
      </c>
      <c r="O38" s="438">
        <f>('Pt 1 Summary of Data'!Q$59+'Pt 1 Summary of Data'!S$59-'Pt 1 Summary of Data'!T$59)/12</f>
        <v>439.66666666666669</v>
      </c>
      <c r="P38" s="438">
        <f>SUM(M$38:O$38)</f>
        <v>1057.1666666666667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8.1818555555555561E-2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8.1818555555555561E-2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f>IF(OR(P$38&lt;1000,P$17&lt;=0),"",P$12/P$17)</f>
        <v>0.90597140814574295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8.1818555555555561E-2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0.98799999999999999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0.98799999999999999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3324449</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250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