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5" i="4" l="1"/>
  <c r="E4" i="16"/>
  <c r="D4" i="16"/>
  <c r="C4" i="16"/>
  <c r="P41" i="10"/>
  <c r="O38" i="10"/>
  <c r="O16" i="10"/>
  <c r="O6" i="10"/>
  <c r="L16" i="10"/>
  <c r="L10" i="10"/>
  <c r="L6" i="10"/>
  <c r="K41" i="10"/>
  <c r="J16" i="10"/>
  <c r="J11" i="10"/>
  <c r="J10" i="10"/>
  <c r="J6" i="10"/>
  <c r="F41" i="10"/>
  <c r="G16" i="10"/>
  <c r="E16" i="10"/>
  <c r="G10" i="10"/>
  <c r="G9" i="10"/>
  <c r="G8" i="10"/>
  <c r="G6" i="10"/>
  <c r="E11" i="10"/>
  <c r="E10" i="10"/>
  <c r="E9" i="10"/>
  <c r="E8" i="10"/>
  <c r="E6" i="10"/>
  <c r="T22" i="4"/>
  <c r="S22" i="4"/>
  <c r="R22" i="4"/>
  <c r="Q22" i="4"/>
  <c r="P22" i="4"/>
  <c r="O22" i="4"/>
  <c r="N22" i="4"/>
  <c r="M22" i="4"/>
  <c r="L22" i="4"/>
  <c r="K22" i="4"/>
  <c r="J22" i="4"/>
  <c r="I22" i="4"/>
  <c r="H22" i="4"/>
  <c r="G22" i="4"/>
  <c r="F22" i="4"/>
  <c r="E22" i="4"/>
  <c r="D22" i="4"/>
  <c r="T12" i="4"/>
  <c r="S12" i="4"/>
  <c r="R12" i="4"/>
  <c r="Q12" i="4"/>
  <c r="P12" i="4"/>
  <c r="O12" i="4"/>
  <c r="N12" i="4"/>
  <c r="M12" i="4"/>
  <c r="L12" i="4"/>
  <c r="K12" i="4"/>
  <c r="J12" i="4"/>
  <c r="I12" i="4"/>
  <c r="H12" i="4"/>
  <c r="G12" i="4"/>
  <c r="F12" i="4"/>
  <c r="E12" i="4"/>
  <c r="D12" i="4"/>
  <c r="T5" i="4"/>
  <c r="S5" i="4"/>
  <c r="R5" i="4"/>
  <c r="Q5" i="4"/>
  <c r="P5" i="4"/>
  <c r="O5" i="4"/>
  <c r="L7" i="10" s="1"/>
  <c r="N5" i="4"/>
  <c r="M5" i="4"/>
  <c r="L5" i="4"/>
  <c r="K5" i="4"/>
  <c r="I5" i="4"/>
  <c r="G15" i="10" s="1"/>
  <c r="H5" i="4"/>
  <c r="G5" i="4"/>
  <c r="F5" i="4"/>
  <c r="E5" i="4"/>
  <c r="D5" i="4"/>
  <c r="O15" i="10" l="1"/>
  <c r="E15" i="10"/>
  <c r="J7" i="10"/>
  <c r="E7" i="10"/>
  <c r="L15" i="10"/>
  <c r="L20" i="10" s="1"/>
  <c r="J15" i="10"/>
  <c r="O7" i="10"/>
  <c r="G7" i="10"/>
  <c r="G27" i="10" s="1"/>
  <c r="P38" i="10"/>
  <c r="N17" i="10"/>
  <c r="N45" i="10" s="1"/>
  <c r="M17" i="10"/>
  <c r="M45" i="10" s="1"/>
  <c r="P16" i="10"/>
  <c r="N12" i="10"/>
  <c r="M12" i="10"/>
  <c r="P7" i="10"/>
  <c r="L58" i="10"/>
  <c r="K16" i="10"/>
  <c r="K11" i="10"/>
  <c r="K10" i="10"/>
  <c r="K6" i="10"/>
  <c r="G58" i="10"/>
  <c r="G23" i="10" l="1"/>
  <c r="L19" i="10"/>
  <c r="L32" i="10"/>
  <c r="L24" i="10"/>
  <c r="L23" i="10"/>
  <c r="L22" i="10"/>
  <c r="L27" i="10"/>
  <c r="G32" i="10"/>
  <c r="G19" i="10"/>
  <c r="G20" i="10"/>
  <c r="G24" i="10"/>
  <c r="O12" i="10"/>
  <c r="P12" i="10" s="1"/>
  <c r="O17" i="10"/>
  <c r="P52" i="10"/>
  <c r="P15" i="10"/>
  <c r="P17" i="10" s="1"/>
  <c r="P42" i="10"/>
  <c r="K15" i="10"/>
  <c r="P6" i="10"/>
  <c r="F16" i="10"/>
  <c r="F11" i="10"/>
  <c r="F10" i="10"/>
  <c r="F9" i="10"/>
  <c r="F8" i="10"/>
  <c r="L30" i="10" l="1"/>
  <c r="L31" i="10" s="1"/>
  <c r="G22" i="10"/>
  <c r="L29" i="10"/>
  <c r="O45" i="10"/>
  <c r="P39" i="10" s="1"/>
  <c r="L21" i="10"/>
  <c r="P45" i="10"/>
  <c r="P47" i="10" s="1"/>
  <c r="P48" i="10" s="1"/>
  <c r="P51" i="10" s="1"/>
  <c r="P53" i="10" s="1"/>
  <c r="E11" i="16" s="1"/>
  <c r="F7" i="10"/>
  <c r="F15" i="10"/>
  <c r="F6" i="10"/>
  <c r="K7" i="10"/>
  <c r="K17" i="10" s="1"/>
  <c r="T60" i="4"/>
  <c r="S60" i="4"/>
  <c r="R60" i="4"/>
  <c r="Q60" i="4"/>
  <c r="P60" i="4"/>
  <c r="O60" i="4"/>
  <c r="N60" i="4"/>
  <c r="M60" i="4"/>
  <c r="L60" i="4"/>
  <c r="K60" i="4"/>
  <c r="J60" i="4"/>
  <c r="I60" i="4"/>
  <c r="H60" i="4"/>
  <c r="G60" i="4"/>
  <c r="F60" i="4"/>
  <c r="E60" i="4"/>
  <c r="D60" i="4"/>
  <c r="T55" i="18"/>
  <c r="S55" i="18"/>
  <c r="R55" i="18"/>
  <c r="T54" i="18"/>
  <c r="S54" i="18"/>
  <c r="R54" i="18"/>
  <c r="Q55" i="18"/>
  <c r="Q54" i="18"/>
  <c r="P55" i="18"/>
  <c r="P54" i="18"/>
  <c r="O54" i="18"/>
  <c r="N55" i="18"/>
  <c r="N54" i="18"/>
  <c r="M55" i="18"/>
  <c r="M54" i="18"/>
  <c r="L55" i="18"/>
  <c r="L54" i="18"/>
  <c r="K55" i="18"/>
  <c r="K54" i="18"/>
  <c r="J55" i="18"/>
  <c r="J54" i="18"/>
  <c r="I55" i="18"/>
  <c r="I54" i="18"/>
  <c r="H55" i="18"/>
  <c r="H54" i="18"/>
  <c r="G55" i="18"/>
  <c r="G54" i="18"/>
  <c r="F55" i="18"/>
  <c r="F54" i="18"/>
  <c r="E55" i="18"/>
  <c r="E54" i="18"/>
  <c r="D55" i="18"/>
  <c r="D54" i="18"/>
  <c r="L26" i="10" l="1"/>
  <c r="L25" i="10" s="1"/>
  <c r="L28" i="10" s="1"/>
  <c r="D17" i="10"/>
  <c r="C17" i="10"/>
  <c r="L33" i="10"/>
  <c r="L34" i="10" s="1"/>
  <c r="E38" i="10"/>
  <c r="F38" i="10" s="1"/>
  <c r="F52" i="10" s="1"/>
  <c r="E17" i="10"/>
  <c r="J38" i="10"/>
  <c r="K38" i="10" s="1"/>
  <c r="J17" i="10"/>
  <c r="J12" i="10"/>
  <c r="F17" i="10"/>
  <c r="H12" i="10"/>
  <c r="I17" i="10"/>
  <c r="I12" i="10"/>
  <c r="H17" i="10"/>
  <c r="E12" i="10"/>
  <c r="C12" i="10"/>
  <c r="D12" i="10"/>
  <c r="C45" i="10"/>
  <c r="H45" i="10" l="1"/>
  <c r="F12" i="10"/>
  <c r="F45" i="10" s="1"/>
  <c r="D45" i="10"/>
  <c r="G30" i="10"/>
  <c r="J45" i="10"/>
  <c r="K12" i="10"/>
  <c r="K45" i="10" s="1"/>
  <c r="E45" i="10"/>
  <c r="I45" i="10"/>
  <c r="K52" i="10"/>
  <c r="K42" i="10"/>
  <c r="K39" i="10" l="1"/>
  <c r="G31" i="10"/>
  <c r="G29" i="10" s="1"/>
  <c r="F39" i="10"/>
  <c r="F42" i="10" s="1"/>
  <c r="F47" i="10" s="1"/>
  <c r="F48" i="10" s="1"/>
  <c r="F51" i="10" s="1"/>
  <c r="F53" i="10" s="1"/>
  <c r="G21" i="10"/>
  <c r="K47" i="10"/>
  <c r="K48" i="10" s="1"/>
  <c r="K51" i="10" s="1"/>
  <c r="K53" i="10" s="1"/>
  <c r="D11" i="16" s="1"/>
  <c r="C11" i="16" l="1"/>
  <c r="G33" i="10"/>
  <c r="G34" i="10" s="1"/>
  <c r="G26" i="10"/>
  <c r="G25" i="10" s="1"/>
  <c r="G28" i="10" s="1"/>
  <c r="O55" i="18"/>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<sst xmlns="http://schemas.openxmlformats.org/spreadsheetml/2006/main" count="565" uniqueCount="503">
  <si>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</si>
  <si>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</si>
  <si>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</si>
  <si>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</si>
  <si>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</si>
  <si>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</si>
  <si>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</si>
  <si>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</si>
  <si>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</si>
  <si>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</si>
  <si>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</si>
  <si>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</si>
  <si>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</si>
  <si>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</si>
  <si>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</si>
  <si>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</si>
  <si>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</si>
  <si>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</si>
  <si>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</si>
  <si>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</si>
  <si>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</si>
  <si>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</si>
  <si>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</si>
  <si>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</si>
  <si>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</si>
  <si>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</si>
  <si>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</si>
  <si>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</si>
  <si>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</si>
  <si>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</si>
  <si>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</si>
  <si>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</si>
  <si>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</si>
  <si>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</si>
  <si>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</si>
  <si>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</si>
  <si>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</si>
  <si>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</si>
  <si>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</si>
  <si>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</si>
  <si>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</si>
  <si>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</si>
  <si>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</si>
  <si>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</si>
  <si>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</si>
  <si>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</si>
  <si>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</si>
  <si>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</si>
  <si>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</si>
  <si>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</si>
  <si>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</si>
  <si>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</si>
  <si>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</si>
  <si>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</si>
  <si>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</si>
  <si>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</si>
  <si>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</si>
  <si>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</si>
  <si>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</si>
  <si>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</si>
  <si>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</si>
  <si>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</si>
  <si>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</si>
  <si>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</si>
  <si>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</si>
  <si>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</si>
  <si>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</si>
  <si>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</si>
  <si>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</si>
  <si>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</si>
  <si>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</si>
  <si>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</si>
  <si>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</si>
  <si>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</si>
  <si>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</si>
  <si>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</si>
  <si>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</si>
  <si>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</si>
  <si>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</si>
  <si>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</si>
  <si>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</si>
  <si>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</si>
  <si>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</si>
  <si>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</si>
  <si>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</si>
  <si>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</si>
  <si>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</si>
  <si>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</si>
  <si>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</si>
  <si>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</si>
  <si>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</si>
  <si>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</si>
  <si>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</si>
  <si>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</si>
  <si>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</si>
  <si>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</si>
  <si>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</si>
  <si>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</si>
  <si>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</si>
  <si>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</si>
  <si>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</si>
  <si>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</si>
  <si>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</si>
  <si>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</si>
  <si>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</si>
  <si>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</si>
  <si>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</si>
  <si>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</si>
  <si>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</si>
  <si>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</si>
  <si>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</si>
  <si>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</si>
  <si>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</si>
  <si>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</si>
  <si>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</si>
  <si>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</si>
  <si>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</si>
  <si>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</si>
  <si>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</si>
  <si>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</si>
  <si>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</si>
  <si>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</si>
  <si>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</si>
  <si>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</si>
  <si>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</si>
  <si>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</si>
  <si>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</si>
  <si>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</si>
  <si>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</si>
  <si>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</si>
  <si>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</si>
  <si>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</si>
  <si>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</si>
  <si>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</si>
  <si>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</si>
  <si>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</si>
  <si>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</si>
  <si>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</si>
  <si>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</si>
  <si>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</si>
  <si>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</si>
  <si>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</si>
  <si>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</si>
  <si>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</si>
  <si>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</si>
  <si>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</si>
  <si>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</si>
  <si>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</si>
  <si>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</si>
  <si>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</si>
  <si>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</si>
  <si>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</si>
  <si>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</si>
  <si>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</si>
  <si>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</si>
  <si>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</si>
  <si>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</si>
  <si>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</si>
  <si>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</si>
  <si>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</si>
  <si>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</si>
  <si>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</si>
  <si>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</si>
  <si>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</si>
  <si>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</si>
  <si>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</si>
  <si>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</si>
  <si>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</si>
  <si>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</si>
  <si>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</si>
  <si>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</si>
  <si>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</si>
  <si>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</si>
  <si>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</si>
  <si>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</si>
  <si>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</si>
  <si>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</si>
  <si>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</si>
  <si>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</si>
  <si>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</si>
  <si>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</si>
  <si>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</si>
  <si>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</si>
  <si>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</si>
  <si>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</si>
  <si>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</si>
  <si>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</si>
  <si>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</si>
  <si>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</si>
  <si>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</si>
  <si>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</si>
  <si>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</si>
  <si>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</si>
  <si>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</si>
  <si>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</si>
  <si>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</si>
  <si>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</si>
  <si>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</si>
  <si>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</si>
  <si>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</si>
  <si>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</si>
  <si>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</si>
  <si>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</si>
  <si>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</si>
  <si>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</si>
  <si>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</si>
  <si>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</si>
  <si>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</si>
  <si>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</si>
  <si>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</si>
  <si>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</si>
  <si>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</si>
  <si>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</si>
  <si>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</si>
  <si>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</si>
  <si>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</si>
  <si>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</si>
  <si>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</si>
  <si>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</si>
  <si>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</si>
  <si>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</si>
  <si>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</si>
  <si>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</si>
  <si>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</si>
  <si>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</si>
  <si>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</si>
  <si>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</si>
  <si>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</si>
  <si>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</si>
  <si>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</si>
  <si>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</si>
  <si>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</si>
  <si>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</si>
  <si>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</si>
  <si>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</si>
  <si>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</si>
  <si>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</si>
  <si>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</si>
  <si>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</si>
  <si>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</si>
  <si>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</si>
  <si>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</si>
  <si>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</si>
  <si>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</si>
  <si>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</si>
  <si>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</si>
  <si>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</si>
  <si>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</si>
  <si>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</si>
  <si>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</si>
  <si>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</si>
  <si>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</si>
  <si>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</si>
  <si>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</si>
  <si>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</si>
  <si>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</si>
  <si>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</si>
  <si>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</si>
  <si>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</si>
  <si>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</si>
  <si>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</si>
  <si>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</si>
  <si>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</si>
  <si>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</si>
  <si>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</si>
  <si>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</si>
  <si>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</si>
  <si>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</si>
  <si>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</si>
  <si>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</si>
  <si>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</si>
  <si>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</si>
  <si>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</si>
  <si>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</si>
  <si>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</si>
  <si>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</si>
  <si>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</si>
  <si>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</si>
  <si>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</si>
  <si>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</si>
  <si>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</si>
  <si>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</si>
  <si>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</si>
  <si>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</si>
  <si>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</si>
  <si>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</si>
  <si>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</si>
  <si>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</si>
  <si>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</si>
  <si>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</si>
  <si>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</si>
  <si>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</si>
  <si>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</si>
  <si>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</si>
  <si>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</si>
  <si>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</si>
  <si>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</si>
  <si>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</si>
  <si>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</si>
  <si>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</si>
  <si>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</si>
  <si>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</si>
  <si>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</si>
  <si>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</si>
  <si>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</si>
  <si>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</si>
  <si>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</si>
  <si>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</si>
  <si>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</si>
  <si>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</si>
  <si>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</si>
  <si>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</si>
  <si>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</si>
  <si>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</si>
  <si>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</si>
  <si>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</si>
  <si>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</si>
  <si>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</si>
  <si>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</si>
  <si>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</si>
  <si>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</si>
  <si>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</si>
  <si>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</si>
  <si>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</si>
  <si>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</si>
  <si>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</si>
  <si>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</si>
  <si>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</si>
  <si>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</si>
  <si>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</si>
  <si>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</si>
  <si>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</si>
  <si>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</si>
  <si>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</si>
  <si>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</si>
  <si>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</si>
  <si>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</si>
  <si>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</si>
  <si>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</si>
  <si>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</si>
  <si>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</si>
  <si>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</si>
  <si>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</si>
  <si>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</si>
  <si>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</si>
  <si>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</si>
  <si>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</si>
  <si>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</si>
  <si>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</si>
  <si>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</si>
  <si>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</si>
  <si>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</si>
  <si>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</si>
  <si>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</si>
  <si>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</si>
  <si>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</si>
  <si>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</si>
  <si>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</si>
  <si>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</si>
  <si>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</si>
  <si>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</si>
  <si>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</si>
  <si>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</si>
  <si>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</si>
  <si>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</si>
  <si>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</si>
  <si>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</si>
  <si>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</si>
  <si>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</si>
  <si>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</si>
  <si>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</si>
  <si>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</si>
  <si>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</si>
  <si>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</si>
  <si>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</si>
  <si>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</si>
  <si>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</si>
  <si>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</si>
  <si>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</si>
  <si>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</si>
  <si>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</si>
  <si>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</si>
  <si>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</si>
  <si>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</si>
  <si>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</si>
  <si>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</si>
  <si>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</si>
  <si>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</si>
  <si>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</si>
  <si>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</si>
  <si>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</si>
  <si>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</si>
  <si>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</si>
  <si>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</si>
  <si>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</si>
  <si>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</si>
  <si>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</si>
  <si>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</si>
  <si>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</si>
  <si>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</si>
  <si>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</si>
  <si>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</si>
  <si>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</si>
  <si>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</si>
  <si>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</si>
  <si>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</si>
  <si>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</si>
  <si>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</si>
  <si>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</si>
  <si>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</si>
  <si>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</si>
  <si>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</si>
  <si>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</si>
  <si>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</si>
  <si>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</si>
  <si>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</si>
  <si>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</si>
  <si>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</si>
  <si>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</si>
  <si>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</si>
  <si>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</si>
  <si>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</si>
  <si>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</si>
  <si>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</si>
  <si>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</si>
  <si>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</si>
  <si>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</si>
  <si>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</si>
  <si>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</si>
  <si>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</si>
  <si>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</si>
  <si>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</si>
  <si>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</si>
  <si>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</si>
  <si>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</si>
  <si>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</si>
  <si>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</si>
  <si>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</si>
  <si>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</si>
  <si>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</si>
  <si>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</si>
  <si>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</si>
  <si>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</si>
  <si>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</si>
  <si>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</si>
  <si>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</si>
  <si>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</si>
  <si>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</si>
  <si>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</si>
  <si>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</si>
  <si>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</si>
  <si>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</si>
  <si>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</si>
  <si>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</si>
  <si>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</si>
  <si>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</si>
  <si>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</si>
  <si>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</si>
  <si>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</si>
  <si>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</si>
  <si>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</si>
  <si>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</si>
  <si>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</si>
  <si>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</si>
  <si>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</si>
  <si>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</si>
  <si>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</si>
  <si>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</si>
  <si>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</si>
  <si>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</si>
  <si>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</si>
  <si>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</si>
  <si>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</si>
  <si>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</si>
  <si>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</si>
  <si>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</si>
  <si>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</si>
  <si>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</si>
  <si>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</si>
  <si>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</si>
  <si>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</si>
  <si>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</si>
  <si>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</si>
  <si>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</si>
  <si>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</si>
  <si>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</si>
  <si>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</si>
  <si>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</si>
  <si>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</si>
  <si>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</si>
  <si>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</si>
  <si>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</si>
  <si>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</si>
  <si>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</si>
  <si>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</si>
  <si>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</si>
  <si>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Western Health Advantage</t>
  </si>
  <si>
    <t>2015</t>
  </si>
  <si>
    <t>2349 Gateway Oaks Drive Sacramento, CA 95833</t>
  </si>
  <si>
    <t>680393304</t>
  </si>
  <si>
    <t>064577</t>
  </si>
  <si>
    <t>93689</t>
  </si>
  <si>
    <t>431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</si>
</sst>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501</v>
      </c>
    </row>
    <row r="12" spans="1:6" x14ac:dyDescent="0.2">
      <c r="B12" s="147" t="s">
        <v>35</v>
      </c>
      <c r="C12" s="480" t="s">
        <v>139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L37" activePane="bottomRight" state="frozen"/>
      <selection activeCell="B1" sqref="B1"/>
      <selection pane="topRight" activeCell="B1" sqref="B1"/>
      <selection pane="bottomLeft" activeCell="B1" sqref="B1"/>
      <selection pane="bottomRight" activeCell="S56" sqref="S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40339056.586032405</v>
      </c>
      <c r="E5" s="213">
        <f>SUM('Pt 2 Premium and Claims'!E$5,'Pt 2 Premium and Claims'!E$6,-'Pt 2 Premium and Claims'!E$7,-'Pt 2 Premium and Claims'!E$13,'Pt 2 Premium and Claims'!E$14:'Pt 2 Premium and Claims'!E$17)</f>
        <v>40685778.905962989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Claims'!I$17)</f>
        <v>40685778.905962989</v>
      </c>
      <c r="J5" s="212">
        <f>SUM('Pt 2 Premium and Claims'!J$5,'Pt 2 Premium and Claims'!J$6,-'Pt 2 Premium and Claims'!J$7,-'Pt 2 Premium and Claims'!J$13,'Pt 2 Premium and Claims'!J$14,'Pt 2 Premium and Claims'!J$16:'Pt 2 Premium and Claims'!J$17)</f>
        <v>129558888.08776999</v>
      </c>
      <c r="K5" s="213">
        <f>SUM('Pt 2 Premium and Claims'!K$5,'Pt 2 Premium and Claims'!K$6,-'Pt 2 Premium and Claims'!K$7,-'Pt 2 Premium and Claims'!K$13,'Pt 2 Premium and Claims'!K$14:'Pt 2 Premium and Claims'!K$17)</f>
        <v>133240935.79896076</v>
      </c>
      <c r="L5" s="213">
        <f>SUM('Pt 2 Premium and Claims'!L$5,'Pt 2 Premium and Claims'!L$6,-'Pt 2 Premium and Claims'!L$7,-'Pt 2 Premium and Claims'!L$13,'Pt 2 Premium and Claims'!L$14:'Pt 2 Premium and Claims'!L$17)</f>
        <v>0</v>
      </c>
      <c r="M5" s="213">
        <f>SUM('Pt 2 Premium and Claims'!M$5,'Pt 2 Premium and Claims'!M$6,-'Pt 2 Premium and Claims'!M$7,-'Pt 2 Premium and Claims'!M$13,'Pt 2 Premium and Claims'!M$14:'Pt 2 Premium and Claims'!M$17)</f>
        <v>0</v>
      </c>
      <c r="N5" s="213">
        <f>SUM('Pt 2 Premium and Claims'!N$5,'Pt 2 Premium and Claims'!N$6,-'Pt 2 Premium and Claims'!N$7,-'Pt 2 Premium and Claims'!N$13,'Pt 2 Premium and Claims'!N$14:'Pt 2 Premium and Claims'!N$17)</f>
        <v>0</v>
      </c>
      <c r="O5" s="212">
        <f>SUM('Pt 2 Premium and Claims'!O$5,'Pt 2 Premium and Claims'!O$6,-'Pt 2 Premium and Claims'!O$7,-'Pt 2 Premium and Claims'!O$13,'Pt 2 Premium and Claims'!O$14:'Pt 2 Premium and Claims'!O$17)</f>
        <v>83232630.193978533</v>
      </c>
      <c r="P5" s="212">
        <f>SUM('Pt 2 Premium and Claims'!P$5,'Pt 2 Premium and Claims'!P$6,-'Pt 2 Premium and Claims'!P$7,-'Pt 2 Premium and Claims'!P$13,'Pt 2 Premium and Claims'!P$14:'Pt 2 Premium and Claims'!P$17)</f>
        <v>472118892.82619768</v>
      </c>
      <c r="Q5" s="213">
        <f>SUM('Pt 2 Premium and Claims'!Q$5,'Pt 2 Premium and Claims'!Q$6,-'Pt 2 Premium and Claims'!Q$7,-'Pt 2 Premium and Claims'!Q$13,'Pt 2 Premium and Claims'!Q$14:'Pt 2 Premium and Claims'!Q$17)</f>
        <v>472118892.82619768</v>
      </c>
      <c r="R5" s="213">
        <f>SUM('Pt 2 Premium and Claims'!R$5,'Pt 2 Premium and Claims'!R$6,-'Pt 2 Premium and Claims'!R$7,-'Pt 2 Premium and Claims'!R$13,'Pt 2 Premium and Claims'!R$14:'Pt 2 Premium and Claims'!R$17)</f>
        <v>0</v>
      </c>
      <c r="S5" s="213">
        <f>SUM('Pt 2 Premium and Claims'!S$5,'Pt 2 Premium and Claims'!S$6,-'Pt 2 Premium and Claims'!S$7,-'Pt 2 Premium and Claims'!S$13,'Pt 2 Premium and Claims'!S$14:'Pt 2 Premium and Claims'!S$17)</f>
        <v>0</v>
      </c>
      <c r="T5" s="213">
        <f>SUM('Pt 2 Premium and Claims'!T$5,'Pt 2 Premium and Claims'!T$6,-'Pt 2 Premium and Claims'!T$7,-'Pt 2 Premium and Claims'!T$13,'Pt 2 Premium and Claims'!T$14:'Pt 2 Premium and Claims'!T$17)</f>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33213454.754291117</v>
      </c>
      <c r="E12" s="213">
        <f>'Pt 2 Premium and Claims'!E$54</f>
        <v>35046006.273821242</v>
      </c>
      <c r="F12" s="213">
        <f>'Pt 2 Premium and Claims'!F$54</f>
        <v>0</v>
      </c>
      <c r="G12" s="213">
        <f>'Pt 2 Premium and Claims'!G$54</f>
        <v>0</v>
      </c>
      <c r="H12" s="213">
        <f>'Pt 2 Premium and Claims'!H$54</f>
        <v>0</v>
      </c>
      <c r="I12" s="212">
        <f>'Pt 2 Premium and Claims'!I$54</f>
        <v>35046006.273821242</v>
      </c>
      <c r="J12" s="212">
        <f>'Pt 2 Premium and Claims'!J$54</f>
        <v>115368221.44876988</v>
      </c>
      <c r="K12" s="213">
        <f>'Pt 2 Premium and Claims'!K$54</f>
        <v>120106568.00236939</v>
      </c>
      <c r="L12" s="213">
        <f>'Pt 2 Premium and Claims'!L$54</f>
        <v>0</v>
      </c>
      <c r="M12" s="213">
        <f>'Pt 2 Premium and Claims'!M$54</f>
        <v>0</v>
      </c>
      <c r="N12" s="213">
        <f>'Pt 2 Premium and Claims'!N$54</f>
        <v>0</v>
      </c>
      <c r="O12" s="212">
        <f>'Pt 2 Premium and Claims'!O$54</f>
        <v>75233796.219157174</v>
      </c>
      <c r="P12" s="212">
        <f>'Pt 2 Premium and Claims'!P$54</f>
        <v>421077699.32693917</v>
      </c>
      <c r="Q12" s="213">
        <f>'Pt 2 Premium and Claims'!Q$54</f>
        <v>424409784.47553527</v>
      </c>
      <c r="R12" s="213">
        <f>'Pt 2 Premium and Claims'!R$54</f>
        <v>0</v>
      </c>
      <c r="S12" s="213">
        <f>'Pt 2 Premium and Claims'!S$54</f>
        <v>0</v>
      </c>
      <c r="T12" s="213">
        <f>'Pt 2 Premium and Claims'!T$54</f>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4591843.5006917948</v>
      </c>
      <c r="E13" s="217">
        <v>4591843.5006917948</v>
      </c>
      <c r="F13" s="217">
        <v>0</v>
      </c>
      <c r="G13" s="268"/>
      <c r="H13" s="269"/>
      <c r="I13" s="216">
        <v>0</v>
      </c>
      <c r="J13" s="216">
        <v>16943747.944454387</v>
      </c>
      <c r="K13" s="217">
        <v>16943747.944454387</v>
      </c>
      <c r="L13" s="217">
        <v>0</v>
      </c>
      <c r="M13" s="268"/>
      <c r="N13" s="269"/>
      <c r="O13" s="216">
        <v>10420404.99</v>
      </c>
      <c r="P13" s="216">
        <v>61275409.554853834</v>
      </c>
      <c r="Q13" s="217">
        <v>61275409.554853834</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-274058.6673808223</v>
      </c>
      <c r="E14" s="217">
        <v>-274058.6673808223</v>
      </c>
      <c r="F14" s="217">
        <v>0</v>
      </c>
      <c r="G14" s="267"/>
      <c r="H14" s="270"/>
      <c r="I14" s="216">
        <v>0</v>
      </c>
      <c r="J14" s="216">
        <v>-1011267.2571254068</v>
      </c>
      <c r="K14" s="217">
        <v>-1011267.2571254068</v>
      </c>
      <c r="L14" s="217">
        <v>0</v>
      </c>
      <c r="M14" s="267"/>
      <c r="N14" s="270"/>
      <c r="O14" s="216">
        <v>-621929.36</v>
      </c>
      <c r="P14" s="216">
        <v>-3657149.2654937725</v>
      </c>
      <c r="Q14" s="217">
        <v>-3657149.2654937725</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511221.37390925316</v>
      </c>
      <c r="E25" s="217">
        <v>511221.37390925316</v>
      </c>
      <c r="F25" s="217">
        <v>0</v>
      </c>
      <c r="G25" s="217">
        <v>0</v>
      </c>
      <c r="H25" s="217">
        <v>0</v>
      </c>
      <c r="I25" s="216">
        <v>511221.37390925316</v>
      </c>
      <c r="J25" s="216">
        <v>1886389.660717109</v>
      </c>
      <c r="K25" s="217">
        <v>1886389.660717109</v>
      </c>
      <c r="L25" s="217">
        <v>0</v>
      </c>
      <c r="M25" s="217">
        <v>0</v>
      </c>
      <c r="N25" s="217">
        <v>0</v>
      </c>
      <c r="O25" s="216">
        <v>1160129.641341022</v>
      </c>
      <c r="P25" s="216">
        <v>6821943.9653736399</v>
      </c>
      <c r="Q25" s="217">
        <v>6821943.9653736399</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13475.539804313339</v>
      </c>
      <c r="E26" s="217">
        <v>13475.539804313339</v>
      </c>
      <c r="F26" s="217">
        <v>0</v>
      </c>
      <c r="G26" s="217">
        <v>0</v>
      </c>
      <c r="H26" s="217">
        <v>0</v>
      </c>
      <c r="I26" s="216">
        <v>13475.539804313339</v>
      </c>
      <c r="J26" s="216">
        <v>49724.288257068962</v>
      </c>
      <c r="K26" s="217">
        <v>49724.288257068962</v>
      </c>
      <c r="L26" s="217">
        <v>0</v>
      </c>
      <c r="M26" s="217">
        <v>0</v>
      </c>
      <c r="N26" s="217">
        <v>0</v>
      </c>
      <c r="O26" s="216">
        <v>30580.437278097412</v>
      </c>
      <c r="P26" s="216">
        <v>179823.03193861773</v>
      </c>
      <c r="Q26" s="217">
        <v>179823.03193861773</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273641.8970509785</v>
      </c>
      <c r="E27" s="217">
        <v>273641.8970509785</v>
      </c>
      <c r="F27" s="217">
        <v>0</v>
      </c>
      <c r="G27" s="217">
        <v>0</v>
      </c>
      <c r="H27" s="217">
        <v>0</v>
      </c>
      <c r="I27" s="216">
        <v>273641.8970509785</v>
      </c>
      <c r="J27" s="216">
        <v>1009729.3886378293</v>
      </c>
      <c r="K27" s="217">
        <v>1009729.3886378293</v>
      </c>
      <c r="L27" s="217">
        <v>0</v>
      </c>
      <c r="M27" s="217">
        <v>0</v>
      </c>
      <c r="N27" s="217">
        <v>0</v>
      </c>
      <c r="O27" s="216">
        <v>620983.57401226507</v>
      </c>
      <c r="P27" s="216">
        <v>3651587.7143111932</v>
      </c>
      <c r="Q27" s="217">
        <v>3651587.7143111932</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892.17315125270397</v>
      </c>
      <c r="E28" s="217">
        <v>892.17315125270397</v>
      </c>
      <c r="F28" s="217">
        <v>0</v>
      </c>
      <c r="G28" s="217">
        <v>0</v>
      </c>
      <c r="H28" s="217">
        <v>0</v>
      </c>
      <c r="I28" s="216">
        <v>892.17315125270397</v>
      </c>
      <c r="J28" s="216">
        <v>3292.0888953114249</v>
      </c>
      <c r="K28" s="217">
        <v>3292.0888953114249</v>
      </c>
      <c r="L28" s="217">
        <v>0</v>
      </c>
      <c r="M28" s="217">
        <v>0</v>
      </c>
      <c r="N28" s="217">
        <v>0</v>
      </c>
      <c r="O28" s="216">
        <v>2024.6346706165264</v>
      </c>
      <c r="P28" s="216">
        <v>11905.517953435874</v>
      </c>
      <c r="Q28" s="217">
        <v>11905.517953435874</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305707.06071640196</v>
      </c>
      <c r="E30" s="217">
        <v>305707.06071640196</v>
      </c>
      <c r="F30" s="217">
        <v>0</v>
      </c>
      <c r="G30" s="217">
        <v>0</v>
      </c>
      <c r="H30" s="217">
        <v>0</v>
      </c>
      <c r="I30" s="216">
        <v>305707.06071640196</v>
      </c>
      <c r="J30" s="216">
        <v>1128048.7631685075</v>
      </c>
      <c r="K30" s="217">
        <v>1128048.7631685075</v>
      </c>
      <c r="L30" s="217">
        <v>0</v>
      </c>
      <c r="M30" s="217">
        <v>0</v>
      </c>
      <c r="N30" s="217">
        <v>0</v>
      </c>
      <c r="O30" s="216">
        <v>693749.98934863205</v>
      </c>
      <c r="P30" s="216">
        <v>4079478.1761150914</v>
      </c>
      <c r="Q30" s="217">
        <v>4079478.1761150914</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67244.048658015163</v>
      </c>
      <c r="E32" s="217">
        <v>67244.048658015163</v>
      </c>
      <c r="F32" s="217">
        <v>0</v>
      </c>
      <c r="G32" s="217">
        <v>0</v>
      </c>
      <c r="H32" s="217">
        <v>0</v>
      </c>
      <c r="I32" s="216">
        <v>67244.048658015163</v>
      </c>
      <c r="J32" s="216">
        <v>248128.27594284984</v>
      </c>
      <c r="K32" s="217">
        <v>248128.27594284984</v>
      </c>
      <c r="L32" s="217">
        <v>0</v>
      </c>
      <c r="M32" s="217">
        <v>0</v>
      </c>
      <c r="N32" s="217">
        <v>0</v>
      </c>
      <c r="O32" s="216">
        <v>152598.88970485266</v>
      </c>
      <c r="P32" s="216">
        <v>897331.67539913522</v>
      </c>
      <c r="Q32" s="217">
        <v>897331.67539913522</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161789.63524068266</v>
      </c>
      <c r="E34" s="217">
        <v>161789.63524068266</v>
      </c>
      <c r="F34" s="217">
        <v>0</v>
      </c>
      <c r="G34" s="217">
        <v>0</v>
      </c>
      <c r="H34" s="217">
        <v>0</v>
      </c>
      <c r="I34" s="216">
        <v>161789.63524068266</v>
      </c>
      <c r="J34" s="216">
        <v>1359687.868428661</v>
      </c>
      <c r="K34" s="217">
        <v>1359687.868428661</v>
      </c>
      <c r="L34" s="217">
        <v>0</v>
      </c>
      <c r="M34" s="217">
        <v>0</v>
      </c>
      <c r="N34" s="217">
        <v>0</v>
      </c>
      <c r="O34" s="216">
        <v>836208.03908362647</v>
      </c>
      <c r="P34" s="216">
        <v>3597984.5463306569</v>
      </c>
      <c r="Q34" s="217">
        <v>3597984.5463306569</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897415.2348567961</v>
      </c>
      <c r="E35" s="217">
        <v>897415.2348567961</v>
      </c>
      <c r="F35" s="217">
        <v>0</v>
      </c>
      <c r="G35" s="217">
        <v>0</v>
      </c>
      <c r="H35" s="217">
        <v>0</v>
      </c>
      <c r="I35" s="216">
        <v>897415.2348567961</v>
      </c>
      <c r="J35" s="216">
        <v>94599.194816084317</v>
      </c>
      <c r="K35" s="217">
        <v>94599.194816084317</v>
      </c>
      <c r="L35" s="217">
        <v>0</v>
      </c>
      <c r="M35" s="217">
        <v>0</v>
      </c>
      <c r="N35" s="217">
        <v>0</v>
      </c>
      <c r="O35" s="216">
        <v>80217.692145225199</v>
      </c>
      <c r="P35" s="216">
        <v>135089.09032712012</v>
      </c>
      <c r="Q35" s="217">
        <v>135089.09032712012</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207058.07218422246</v>
      </c>
      <c r="E37" s="225">
        <v>207058.07218422246</v>
      </c>
      <c r="F37" s="225">
        <v>0</v>
      </c>
      <c r="G37" s="225">
        <v>0</v>
      </c>
      <c r="H37" s="225">
        <v>0</v>
      </c>
      <c r="I37" s="224">
        <v>207058.07218422246</v>
      </c>
      <c r="J37" s="224">
        <v>764037.31625991839</v>
      </c>
      <c r="K37" s="225">
        <v>764037.31625991839</v>
      </c>
      <c r="L37" s="225">
        <v>0</v>
      </c>
      <c r="M37" s="225">
        <v>0</v>
      </c>
      <c r="N37" s="225">
        <v>0</v>
      </c>
      <c r="O37" s="224">
        <v>469882.94949984981</v>
      </c>
      <c r="P37" s="224">
        <v>2763066.3311620369</v>
      </c>
      <c r="Q37" s="225">
        <v>2763066.3311620369</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2911.2507023567559</v>
      </c>
      <c r="E39" s="217">
        <v>2911.2507023567559</v>
      </c>
      <c r="F39" s="217">
        <v>0</v>
      </c>
      <c r="G39" s="217">
        <v>0</v>
      </c>
      <c r="H39" s="217">
        <v>0</v>
      </c>
      <c r="I39" s="216">
        <v>2911.2507023567559</v>
      </c>
      <c r="J39" s="216">
        <v>10742.417091614105</v>
      </c>
      <c r="K39" s="217">
        <v>10742.417091614105</v>
      </c>
      <c r="L39" s="217">
        <v>0</v>
      </c>
      <c r="M39" s="217">
        <v>0</v>
      </c>
      <c r="N39" s="217">
        <v>0</v>
      </c>
      <c r="O39" s="216">
        <v>6606.5865113426744</v>
      </c>
      <c r="P39" s="216">
        <v>38848.902206029154</v>
      </c>
      <c r="Q39" s="217">
        <v>38848.902206029154</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8053.1674487494056</v>
      </c>
      <c r="E40" s="217">
        <v>8053.1674487494056</v>
      </c>
      <c r="F40" s="217">
        <v>0</v>
      </c>
      <c r="G40" s="217">
        <v>0</v>
      </c>
      <c r="H40" s="217">
        <v>0</v>
      </c>
      <c r="I40" s="216">
        <v>8053.1674487494056</v>
      </c>
      <c r="J40" s="216">
        <v>29715.91679584407</v>
      </c>
      <c r="K40" s="217">
        <v>29715.91679584407</v>
      </c>
      <c r="L40" s="217">
        <v>0</v>
      </c>
      <c r="M40" s="217">
        <v>0</v>
      </c>
      <c r="N40" s="217">
        <v>0</v>
      </c>
      <c r="O40" s="216">
        <v>18275.288829444104</v>
      </c>
      <c r="P40" s="216">
        <v>107464.71075540656</v>
      </c>
      <c r="Q40" s="217">
        <v>107464.71075540656</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2192.1043681442411</v>
      </c>
      <c r="E41" s="217">
        <v>2192.1043681442411</v>
      </c>
      <c r="F41" s="217">
        <v>0</v>
      </c>
      <c r="G41" s="217">
        <v>0</v>
      </c>
      <c r="H41" s="217">
        <v>0</v>
      </c>
      <c r="I41" s="216">
        <v>2192.1043681442411</v>
      </c>
      <c r="J41" s="216">
        <v>8088.7913266594751</v>
      </c>
      <c r="K41" s="217">
        <v>8088.7913266594751</v>
      </c>
      <c r="L41" s="217">
        <v>0</v>
      </c>
      <c r="M41" s="217">
        <v>0</v>
      </c>
      <c r="N41" s="217">
        <v>0</v>
      </c>
      <c r="O41" s="216">
        <v>4974.606665895577</v>
      </c>
      <c r="P41" s="216">
        <v>29252.323805196291</v>
      </c>
      <c r="Q41" s="217">
        <v>29252.323805196291</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6197.1671290909326</v>
      </c>
      <c r="E42" s="217">
        <v>6197.1671290909326</v>
      </c>
      <c r="F42" s="217">
        <v>0</v>
      </c>
      <c r="G42" s="217">
        <v>0</v>
      </c>
      <c r="H42" s="217">
        <v>0</v>
      </c>
      <c r="I42" s="216">
        <v>6197.1671290909326</v>
      </c>
      <c r="J42" s="216">
        <v>22867.338093982358</v>
      </c>
      <c r="K42" s="217">
        <v>22867.338093982358</v>
      </c>
      <c r="L42" s="217">
        <v>0</v>
      </c>
      <c r="M42" s="217">
        <v>0</v>
      </c>
      <c r="N42" s="217">
        <v>0</v>
      </c>
      <c r="O42" s="216">
        <v>14063.412927799151</v>
      </c>
      <c r="P42" s="216">
        <v>82697.494776926731</v>
      </c>
      <c r="Q42" s="217">
        <v>82697.494776926731</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30615.046907248747</v>
      </c>
      <c r="E44" s="225">
        <v>30615.046907248747</v>
      </c>
      <c r="F44" s="225">
        <v>0</v>
      </c>
      <c r="G44" s="225">
        <v>0</v>
      </c>
      <c r="H44" s="225">
        <v>0</v>
      </c>
      <c r="I44" s="224">
        <v>30615.046907248747</v>
      </c>
      <c r="J44" s="224">
        <v>112968.49250762131</v>
      </c>
      <c r="K44" s="225">
        <v>112968.49250762131</v>
      </c>
      <c r="L44" s="225">
        <v>0</v>
      </c>
      <c r="M44" s="225">
        <v>0</v>
      </c>
      <c r="N44" s="225">
        <v>0</v>
      </c>
      <c r="O44" s="224">
        <v>69475.622892187108</v>
      </c>
      <c r="P44" s="224">
        <v>408539.51958513015</v>
      </c>
      <c r="Q44" s="225">
        <v>408539.51958513015</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121170.61017041509</v>
      </c>
      <c r="E46" s="217">
        <v>121170.61017041509</v>
      </c>
      <c r="F46" s="217">
        <v>0</v>
      </c>
      <c r="G46" s="217">
        <v>0</v>
      </c>
      <c r="H46" s="217">
        <v>0</v>
      </c>
      <c r="I46" s="216">
        <v>121170.61017041509</v>
      </c>
      <c r="J46" s="216">
        <v>447115.47261877335</v>
      </c>
      <c r="K46" s="217">
        <v>447115.47261877335</v>
      </c>
      <c r="L46" s="217">
        <v>0</v>
      </c>
      <c r="M46" s="217">
        <v>0</v>
      </c>
      <c r="N46" s="217">
        <v>0</v>
      </c>
      <c r="O46" s="216">
        <v>274976.01566054561</v>
      </c>
      <c r="P46" s="216">
        <v>1616949.437210812</v>
      </c>
      <c r="Q46" s="217">
        <v>1616949.437210812</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312911.93999999994</v>
      </c>
      <c r="E47" s="217">
        <v>312911.93999999994</v>
      </c>
      <c r="F47" s="217">
        <v>0</v>
      </c>
      <c r="G47" s="217">
        <v>0</v>
      </c>
      <c r="H47" s="217">
        <v>0</v>
      </c>
      <c r="I47" s="216">
        <v>312911.93999999994</v>
      </c>
      <c r="J47" s="216">
        <v>9317031.1900000013</v>
      </c>
      <c r="K47" s="217">
        <v>9317031.1900000013</v>
      </c>
      <c r="L47" s="217">
        <v>0</v>
      </c>
      <c r="M47" s="217">
        <v>0</v>
      </c>
      <c r="N47" s="217">
        <v>0</v>
      </c>
      <c r="O47" s="216">
        <v>5729974.1818500003</v>
      </c>
      <c r="P47" s="216">
        <v>4349071.8699999992</v>
      </c>
      <c r="Q47" s="217">
        <v>4349071.8699999992</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1491880.9026063012</v>
      </c>
      <c r="E51" s="217">
        <v>1491880.9026063012</v>
      </c>
      <c r="F51" s="217">
        <v>0</v>
      </c>
      <c r="G51" s="217">
        <v>0</v>
      </c>
      <c r="H51" s="217">
        <v>0</v>
      </c>
      <c r="I51" s="216">
        <v>1491880.9026063012</v>
      </c>
      <c r="J51" s="216">
        <v>5504990.3101222748</v>
      </c>
      <c r="K51" s="217">
        <v>5504990.3101222748</v>
      </c>
      <c r="L51" s="217">
        <v>0</v>
      </c>
      <c r="M51" s="217">
        <v>0</v>
      </c>
      <c r="N51" s="217">
        <v>0</v>
      </c>
      <c r="O51" s="216">
        <v>3385569.040725199</v>
      </c>
      <c r="P51" s="216">
        <v>19908259.787271429</v>
      </c>
      <c r="Q51" s="217">
        <v>19908259.787271429</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67244.048658015163</v>
      </c>
      <c r="E52" s="217">
        <v>67244.048658015163</v>
      </c>
      <c r="F52" s="217">
        <v>0</v>
      </c>
      <c r="G52" s="217">
        <v>0</v>
      </c>
      <c r="H52" s="217">
        <v>0</v>
      </c>
      <c r="I52" s="216">
        <v>67244.048658015163</v>
      </c>
      <c r="J52" s="216">
        <v>248128.27594284984</v>
      </c>
      <c r="K52" s="217">
        <v>248128.27594284984</v>
      </c>
      <c r="L52" s="217">
        <v>0</v>
      </c>
      <c r="M52" s="217">
        <v>0</v>
      </c>
      <c r="N52" s="217">
        <v>0</v>
      </c>
      <c r="O52" s="216">
        <v>152598.88970485266</v>
      </c>
      <c r="P52" s="216">
        <v>897331.67539913522</v>
      </c>
      <c r="Q52" s="217">
        <v>897331.67539913522</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6197.1671290909326</v>
      </c>
      <c r="E53" s="217">
        <v>6197.1671290909326</v>
      </c>
      <c r="F53" s="217">
        <v>0</v>
      </c>
      <c r="G53" s="268"/>
      <c r="H53" s="268"/>
      <c r="I53" s="216">
        <v>6197.1671290909326</v>
      </c>
      <c r="J53" s="216">
        <v>22867.338093982358</v>
      </c>
      <c r="K53" s="217">
        <v>22867.338093982358</v>
      </c>
      <c r="L53" s="217">
        <v>0</v>
      </c>
      <c r="M53" s="268"/>
      <c r="N53" s="268"/>
      <c r="O53" s="216">
        <v>14063.412927799151</v>
      </c>
      <c r="P53" s="216">
        <v>82697.494776926731</v>
      </c>
      <c r="Q53" s="217">
        <v>82697.494776926731</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6851</v>
      </c>
      <c r="E56" s="229">
        <v>6851</v>
      </c>
      <c r="F56" s="229">
        <v>0</v>
      </c>
      <c r="G56" s="229">
        <v>0</v>
      </c>
      <c r="H56" s="229">
        <v>0</v>
      </c>
      <c r="I56" s="228">
        <v>6851</v>
      </c>
      <c r="J56" s="228">
        <v>4425</v>
      </c>
      <c r="K56" s="229">
        <v>4425</v>
      </c>
      <c r="L56" s="229">
        <v>0</v>
      </c>
      <c r="M56" s="229">
        <v>0</v>
      </c>
      <c r="N56" s="229">
        <v>0</v>
      </c>
      <c r="O56" s="228">
        <v>2721</v>
      </c>
      <c r="P56" s="228">
        <v>300</v>
      </c>
      <c r="Q56" s="229">
        <v>300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6851</v>
      </c>
      <c r="E57" s="232">
        <v>6851</v>
      </c>
      <c r="F57" s="232">
        <v>0</v>
      </c>
      <c r="G57" s="232">
        <v>0</v>
      </c>
      <c r="H57" s="232">
        <v>0</v>
      </c>
      <c r="I57" s="231">
        <v>6851</v>
      </c>
      <c r="J57" s="231">
        <v>31289</v>
      </c>
      <c r="K57" s="232">
        <v>31289</v>
      </c>
      <c r="L57" s="232">
        <v>0</v>
      </c>
      <c r="M57" s="232">
        <v>0</v>
      </c>
      <c r="N57" s="232">
        <v>0</v>
      </c>
      <c r="O57" s="231">
        <v>19243</v>
      </c>
      <c r="P57" s="231">
        <v>82560</v>
      </c>
      <c r="Q57" s="232">
        <v>82560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4425</v>
      </c>
      <c r="K58" s="232">
        <v>4425</v>
      </c>
      <c r="L58" s="232">
        <v>0</v>
      </c>
      <c r="M58" s="232">
        <v>0</v>
      </c>
      <c r="N58" s="232">
        <v>0</v>
      </c>
      <c r="O58" s="231">
        <v>2721</v>
      </c>
      <c r="P58" s="231">
        <v>300</v>
      </c>
      <c r="Q58" s="232">
        <v>300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82544</v>
      </c>
      <c r="E59" s="232">
        <v>82544</v>
      </c>
      <c r="F59" s="232">
        <v>0</v>
      </c>
      <c r="G59" s="232">
        <v>0</v>
      </c>
      <c r="H59" s="232">
        <v>0</v>
      </c>
      <c r="I59" s="231">
        <v>82544</v>
      </c>
      <c r="J59" s="231">
        <v>352835</v>
      </c>
      <c r="K59" s="232">
        <v>352835</v>
      </c>
      <c r="L59" s="232">
        <v>0</v>
      </c>
      <c r="M59" s="232">
        <v>0</v>
      </c>
      <c r="N59" s="232">
        <v>0</v>
      </c>
      <c r="O59" s="231">
        <v>216994</v>
      </c>
      <c r="P59" s="231">
        <v>979757</v>
      </c>
      <c r="Q59" s="232">
        <v>979757</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6878.666666666667</v>
      </c>
      <c r="E60" s="235">
        <f t="shared" ref="E60:T60" si="0">E$59/12</f>
        <v>6878.666666666667</v>
      </c>
      <c r="F60" s="235">
        <f t="shared" si="0"/>
        <v>0</v>
      </c>
      <c r="G60" s="235">
        <f t="shared" si="0"/>
        <v>0</v>
      </c>
      <c r="H60" s="235">
        <f t="shared" si="0"/>
        <v>0</v>
      </c>
      <c r="I60" s="234">
        <f t="shared" si="0"/>
        <v>6878.666666666667</v>
      </c>
      <c r="J60" s="234">
        <f t="shared" si="0"/>
        <v>29402.916666666668</v>
      </c>
      <c r="K60" s="235">
        <f t="shared" si="0"/>
        <v>29402.916666666668</v>
      </c>
      <c r="L60" s="235">
        <f t="shared" si="0"/>
        <v>0</v>
      </c>
      <c r="M60" s="235">
        <f t="shared" si="0"/>
        <v>0</v>
      </c>
      <c r="N60" s="235">
        <f t="shared" si="0"/>
        <v>0</v>
      </c>
      <c r="O60" s="234">
        <f t="shared" si="0"/>
        <v>18082.833333333332</v>
      </c>
      <c r="P60" s="234">
        <f t="shared" si="0"/>
        <v>81646.416666666672</v>
      </c>
      <c r="Q60" s="235">
        <f t="shared" si="0"/>
        <v>81646.416666666672</v>
      </c>
      <c r="R60" s="235">
        <f t="shared" si="0"/>
        <v>0</v>
      </c>
      <c r="S60" s="235">
        <f t="shared" si="0"/>
        <v>0</v>
      </c>
      <c r="T60" s="235">
        <f t="shared" si="0"/>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234070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H3" sqref="H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35196810.179018512</v>
      </c>
      <c r="E5" s="326">
        <v>36465371.669999987</v>
      </c>
      <c r="F5" s="326">
        <v>0</v>
      </c>
      <c r="G5" s="328">
        <v>0</v>
      </c>
      <c r="H5" s="328">
        <v>0</v>
      </c>
      <c r="I5" s="325">
        <v>36465371.669999987</v>
      </c>
      <c r="J5" s="325">
        <v>129875044.74667948</v>
      </c>
      <c r="K5" s="326">
        <v>129558888.08776999</v>
      </c>
      <c r="L5" s="326">
        <v>0</v>
      </c>
      <c r="M5" s="326">
        <v>0</v>
      </c>
      <c r="N5" s="326">
        <v>0</v>
      </c>
      <c r="O5" s="325">
        <v>79678716.173978537</v>
      </c>
      <c r="P5" s="325">
        <v>473262242.50430208</v>
      </c>
      <c r="Q5" s="326">
        <v>472118892.82619768</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852231.94166491111</v>
      </c>
      <c r="E6" s="319">
        <v>0</v>
      </c>
      <c r="F6" s="319">
        <v>0</v>
      </c>
      <c r="G6" s="320">
        <v>0</v>
      </c>
      <c r="H6" s="320">
        <v>0</v>
      </c>
      <c r="I6" s="318">
        <v>0</v>
      </c>
      <c r="J6" s="318">
        <v>3144707.1764548849</v>
      </c>
      <c r="K6" s="319">
        <v>0</v>
      </c>
      <c r="L6" s="319">
        <v>0</v>
      </c>
      <c r="M6" s="319">
        <v>0</v>
      </c>
      <c r="N6" s="319">
        <v>0</v>
      </c>
      <c r="O6" s="318">
        <v>0</v>
      </c>
      <c r="P6" s="318">
        <v>11372526.361880207</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937912.0346510188</v>
      </c>
      <c r="E7" s="319">
        <v>0</v>
      </c>
      <c r="F7" s="319">
        <v>0</v>
      </c>
      <c r="G7" s="320">
        <v>0</v>
      </c>
      <c r="H7" s="320">
        <v>0</v>
      </c>
      <c r="I7" s="318">
        <v>0</v>
      </c>
      <c r="J7" s="318">
        <v>3460863.8353643855</v>
      </c>
      <c r="K7" s="319">
        <v>0</v>
      </c>
      <c r="L7" s="319">
        <v>0</v>
      </c>
      <c r="M7" s="319">
        <v>0</v>
      </c>
      <c r="N7" s="319">
        <v>0</v>
      </c>
      <c r="O7" s="318">
        <v>0</v>
      </c>
      <c r="P7" s="318">
        <v>12515876.039984599</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5227926.5000000009</v>
      </c>
      <c r="E15" s="319">
        <v>5933937.2059629969</v>
      </c>
      <c r="F15" s="319">
        <v>0</v>
      </c>
      <c r="G15" s="319">
        <v>0</v>
      </c>
      <c r="H15" s="319">
        <v>0</v>
      </c>
      <c r="I15" s="318">
        <v>5933937.2059629969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-1713529.97</v>
      </c>
      <c r="F16" s="319">
        <v>0</v>
      </c>
      <c r="G16" s="319">
        <v>0</v>
      </c>
      <c r="H16" s="319">
        <v>0</v>
      </c>
      <c r="I16" s="318">
        <v>-1713529.97</v>
      </c>
      <c r="J16" s="318">
        <v>0</v>
      </c>
      <c r="K16" s="319">
        <v>3553914.02</v>
      </c>
      <c r="L16" s="319">
        <v>0</v>
      </c>
      <c r="M16" s="319">
        <v>0</v>
      </c>
      <c r="N16" s="319">
        <v>0</v>
      </c>
      <c r="O16" s="318">
        <v>3553914.02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128133.6911907727</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17991516.16</v>
      </c>
      <c r="E20" s="319">
        <v>17991516.16</v>
      </c>
      <c r="F20" s="319">
        <v>0</v>
      </c>
      <c r="G20" s="319">
        <v>0</v>
      </c>
      <c r="H20" s="319">
        <v>0</v>
      </c>
      <c r="I20" s="318">
        <v>17991516.16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31362612.052439958</v>
      </c>
      <c r="E23" s="362"/>
      <c r="F23" s="362"/>
      <c r="G23" s="362"/>
      <c r="H23" s="362"/>
      <c r="I23" s="364"/>
      <c r="J23" s="318">
        <v>115726982.72843808</v>
      </c>
      <c r="K23" s="362"/>
      <c r="L23" s="362"/>
      <c r="M23" s="362"/>
      <c r="N23" s="362"/>
      <c r="O23" s="364"/>
      <c r="P23" s="318">
        <v>418515330.04853642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31428442.648832612</v>
      </c>
      <c r="F24" s="319">
        <v>0</v>
      </c>
      <c r="G24" s="319">
        <v>0</v>
      </c>
      <c r="H24" s="319">
        <v>0</v>
      </c>
      <c r="I24" s="318">
        <v>31428442.648832612</v>
      </c>
      <c r="J24" s="365"/>
      <c r="K24" s="319">
        <v>115969895.41310215</v>
      </c>
      <c r="L24" s="319">
        <v>0</v>
      </c>
      <c r="M24" s="319">
        <v>0</v>
      </c>
      <c r="N24" s="319">
        <v>0</v>
      </c>
      <c r="O24" s="318">
        <v>71321485.679057822</v>
      </c>
      <c r="P24" s="365"/>
      <c r="Q24" s="319">
        <v>422302295.02747965</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4907608.0733776372</v>
      </c>
      <c r="E26" s="362"/>
      <c r="F26" s="362"/>
      <c r="G26" s="362"/>
      <c r="H26" s="362"/>
      <c r="I26" s="364"/>
      <c r="J26" s="318">
        <v>774834.71350064327</v>
      </c>
      <c r="K26" s="362"/>
      <c r="L26" s="362"/>
      <c r="M26" s="362"/>
      <c r="N26" s="362"/>
      <c r="O26" s="364"/>
      <c r="P26" s="318">
        <v>5710609.0437074453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3459633.0326819792</v>
      </c>
      <c r="F27" s="319">
        <v>0</v>
      </c>
      <c r="G27" s="319">
        <v>0</v>
      </c>
      <c r="H27" s="319">
        <v>0</v>
      </c>
      <c r="I27" s="318">
        <v>3459633.0326819792</v>
      </c>
      <c r="J27" s="365"/>
      <c r="K27" s="319">
        <v>3553914.02</v>
      </c>
      <c r="L27" s="319">
        <v>0</v>
      </c>
      <c r="M27" s="319">
        <v>0</v>
      </c>
      <c r="N27" s="319">
        <v>0</v>
      </c>
      <c r="O27" s="318">
        <v>3553914.02</v>
      </c>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2604016.6292615929</v>
      </c>
      <c r="E28" s="363"/>
      <c r="F28" s="363"/>
      <c r="G28" s="363"/>
      <c r="H28" s="363"/>
      <c r="I28" s="365"/>
      <c r="J28" s="318">
        <v>962277.10711742274</v>
      </c>
      <c r="K28" s="363"/>
      <c r="L28" s="363"/>
      <c r="M28" s="363"/>
      <c r="N28" s="363"/>
      <c r="O28" s="365"/>
      <c r="P28" s="318">
        <v>3160904.6736209854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400378.51725961088</v>
      </c>
      <c r="E30" s="362"/>
      <c r="F30" s="362"/>
      <c r="G30" s="362"/>
      <c r="H30" s="362"/>
      <c r="I30" s="364"/>
      <c r="J30" s="318">
        <v>1477383.2509316099</v>
      </c>
      <c r="K30" s="362"/>
      <c r="L30" s="362"/>
      <c r="M30" s="362"/>
      <c r="N30" s="362"/>
      <c r="O30" s="364"/>
      <c r="P30" s="318">
        <v>5342812.2318087807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88019.913090798625</v>
      </c>
      <c r="F31" s="319">
        <v>0</v>
      </c>
      <c r="G31" s="319">
        <v>0</v>
      </c>
      <c r="H31" s="319">
        <v>0</v>
      </c>
      <c r="I31" s="318">
        <v>88019.913090798625</v>
      </c>
      <c r="J31" s="365"/>
      <c r="K31" s="319">
        <v>324790.51633153105</v>
      </c>
      <c r="L31" s="319">
        <v>0</v>
      </c>
      <c r="M31" s="319">
        <v>0</v>
      </c>
      <c r="N31" s="319">
        <v>0</v>
      </c>
      <c r="O31" s="318">
        <v>199746.16754389158</v>
      </c>
      <c r="P31" s="365"/>
      <c r="Q31" s="319">
        <v>1174573.1802072006</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923037.93874035566</v>
      </c>
      <c r="E32" s="363"/>
      <c r="F32" s="363"/>
      <c r="G32" s="363"/>
      <c r="H32" s="363"/>
      <c r="I32" s="365"/>
      <c r="J32" s="318">
        <v>1906670.1899187465</v>
      </c>
      <c r="K32" s="363"/>
      <c r="L32" s="363"/>
      <c r="M32" s="363"/>
      <c r="N32" s="363"/>
      <c r="O32" s="365"/>
      <c r="P32" s="318">
        <v>6263063.5913408995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69910.67921585335</v>
      </c>
      <c r="E46" s="319">
        <v>69910.67921585335</v>
      </c>
      <c r="F46" s="319">
        <v>0</v>
      </c>
      <c r="G46" s="319">
        <v>0</v>
      </c>
      <c r="H46" s="319">
        <v>0</v>
      </c>
      <c r="I46" s="318">
        <v>69910.67921585335</v>
      </c>
      <c r="J46" s="318">
        <v>257968.05293572493</v>
      </c>
      <c r="K46" s="319">
        <v>257968.05293572493</v>
      </c>
      <c r="L46" s="319">
        <v>0</v>
      </c>
      <c r="M46" s="319">
        <v>0</v>
      </c>
      <c r="N46" s="319">
        <v>0</v>
      </c>
      <c r="O46" s="318">
        <v>158650.35255547083</v>
      </c>
      <c r="P46" s="318">
        <v>932916.26784842194</v>
      </c>
      <c r="Q46" s="319">
        <v>932916.26784842194</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33213454.754291117</v>
      </c>
      <c r="E54" s="323">
        <f>E24+E27+E31+E35-E36+E39+E42+E45+E46-E49+E51+E52+E53</f>
        <v>35046006.273821242</v>
      </c>
      <c r="F54" s="323">
        <f>F24+F27+F31+F35-F36+F39+F42+F45+F46-F49+F51+F52+F53</f>
        <v>0</v>
      </c>
      <c r="G54" s="323">
        <f>G24+G27+G31+G35-G36+G39+G42+G45+G46-G49+G51+G52+G53</f>
        <v>0</v>
      </c>
      <c r="H54" s="323">
        <f>H24+H27+H31+H35-H36+H39+H42+H45+H46-H49+H51+H52+H53</f>
        <v>0</v>
      </c>
      <c r="I54" s="322">
        <f>I24+I27+I31+I35-I36+I39+I42+I45+I46-I49+I51+I52+I53</f>
        <v>35046006.273821242</v>
      </c>
      <c r="J54" s="322">
        <f>J23+J26-J28+J30-J32+J34-J36+J38+J41-J43+J45+J46-J47-J49+J50+J51+J52+J53</f>
        <v>115368221.44876988</v>
      </c>
      <c r="K54" s="323">
        <f>K24+K27+K31+K35-K36+K39+K42+K45+K46-K49+K51+K52+K53</f>
        <v>120106568.00236939</v>
      </c>
      <c r="L54" s="323">
        <f>L24+L27+L31+L35-L36+L39+L42+L45+L46-L49+L51+L52+L53</f>
        <v>0</v>
      </c>
      <c r="M54" s="323">
        <f>M24+M27+M31+M35-M36+M39+M42+M45+M46-M49+M51+M52+M53</f>
        <v>0</v>
      </c>
      <c r="N54" s="323">
        <f>N24+N27+N31+N35-N36+N39+N42+N45+N46-N49+N51+N52+N53</f>
        <v>0</v>
      </c>
      <c r="O54" s="322">
        <f>O24+O27+O31+O35-O36+O39+O42+O45+O46-O49+O51+O52+O53</f>
        <v>75233796.219157174</v>
      </c>
      <c r="P54" s="322">
        <f>P23+P26-P28+P30-P32+P34-P36+P38+P41-P43+P45+P46-P47-P49+P50+P51+P52+P53</f>
        <v>421077699.32693917</v>
      </c>
      <c r="Q54" s="323">
        <f>Q24+Q27+Q31+Q35-Q36+Q39+Q42+Q45+Q46-Q49+Q51+Q52+Q53</f>
        <v>424409784.47553527</v>
      </c>
      <c r="R54" s="323">
        <f>R24+R27+R31+R35-R36+R39+R42+R45+R46-R49+R51+R52+R53</f>
        <v>0</v>
      </c>
      <c r="S54" s="323">
        <f>S24+S27+S31+S35-S36+S39+S42+S45+S46-S49+S51+S52+S53</f>
        <v>0</v>
      </c>
      <c r="T54" s="323">
        <f>T24+T27+T31+T35-T36+T39+T42+T45+T46-T49+T51+T52+T53</f>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f t="shared" ref="D55:T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1448498.84</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 sqref="C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924810</v>
      </c>
      <c r="D5" s="403">
        <v>23285629</v>
      </c>
      <c r="E5" s="454"/>
      <c r="F5" s="454"/>
      <c r="G5" s="448"/>
      <c r="H5" s="402">
        <v>117791389</v>
      </c>
      <c r="I5" s="403">
        <v>117231650</v>
      </c>
      <c r="J5" s="454"/>
      <c r="K5" s="454"/>
      <c r="L5" s="448"/>
      <c r="M5" s="402">
        <v>317542196</v>
      </c>
      <c r="N5" s="403">
        <v>382178917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924810</v>
      </c>
      <c r="D6" s="398">
        <v>23285629</v>
      </c>
      <c r="E6" s="400">
        <f>SUM('Pt 1 Summary of Data'!E$12,'Pt 1 Summary of Data'!E$22)+SUM('Pt 1 Summary of Data'!G$12,'Pt 1 Summary of Data'!G$22)-SUM('Pt 1 Summary of Data'!H$12,'Pt 1 Summary of Data'!H$22)</f>
        <v>35046006.273821242</v>
      </c>
      <c r="F6" s="400">
        <f t="shared" ref="F6:F11" si="0">SUM(C6:E6)</f>
        <v>59256445.273821242</v>
      </c>
      <c r="G6" s="401">
        <f>SUM('Pt 1 Summary of Data'!I$12,'Pt 1 Summary of Data'!I$22)</f>
        <v>35046006.273821242</v>
      </c>
      <c r="H6" s="397">
        <v>117791389</v>
      </c>
      <c r="I6" s="398">
        <v>117231650</v>
      </c>
      <c r="J6" s="400">
        <f>SUM('Pt 1 Summary of Data'!K$12,'Pt 1 Summary of Data'!K$22)+SUM('Pt 1 Summary of Data'!M$12,'Pt 1 Summary of Data'!M$22)-SUM('Pt 1 Summary of Data'!N$12,'Pt 1 Summary of Data'!N$22)</f>
        <v>120106568.00236939</v>
      </c>
      <c r="K6" s="400">
        <f>SUM(H6:J6)</f>
        <v>355129607.0023694</v>
      </c>
      <c r="L6" s="401">
        <f>SUM('Pt 1 Summary of Data'!O$12,'Pt 1 Summary of Data'!O$22)</f>
        <v>75233796.219157174</v>
      </c>
      <c r="M6" s="397">
        <v>317542196</v>
      </c>
      <c r="N6" s="398">
        <v>382178917</v>
      </c>
      <c r="O6" s="400">
        <f>SUM('Pt 1 Summary of Data'!Q$12,'Pt 1 Summary of Data'!Q$22)+SUM('Pt 1 Summary of Data'!S$12,'Pt 1 Summary of Data'!S$22)-SUM('Pt 1 Summary of Data'!T$12,'Pt 1 Summary of Data'!T$22)</f>
        <v>424409784.47553527</v>
      </c>
      <c r="P6" s="400">
        <f>SUM(M6:O6)</f>
        <v>1124130897.4755354</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5914</v>
      </c>
      <c r="D7" s="398">
        <v>131444</v>
      </c>
      <c r="E7" s="400">
        <f>SUM('Pt 1 Summary of Data'!E$37:E$41)+SUM('Pt 1 Summary of Data'!G$37:G$41)-SUM('Pt 1 Summary of Data'!H$37:H$41)+MAX(0,MIN('Pt 1 Summary of Data'!E$42+'Pt 1 Summary of Data'!G$42-'Pt 1 Summary of Data'!H$42,0.3%*('Pt 1 Summary of Data'!E$5+'Pt 1 Summary of Data'!G$5-'Pt 1 Summary of Data'!H$5-SUM(E$9:E$11))))</f>
        <v>226411.76183256379</v>
      </c>
      <c r="F7" s="400">
        <f t="shared" si="0"/>
        <v>363769.76183256379</v>
      </c>
      <c r="G7" s="401">
        <f>SUM('Pt 1 Summary of Data'!I$37:I$41)+MAX(0,MIN(VALUE('Pt 1 Summary of Data'!I$42),0.3%*('Pt 1 Summary of Data'!I$5-SUM(G$9:G$10))))</f>
        <v>226411.76183256379</v>
      </c>
      <c r="H7" s="397">
        <v>1329642</v>
      </c>
      <c r="I7" s="398">
        <v>962044</v>
      </c>
      <c r="J7" s="400">
        <f>SUM('Pt 1 Summary of Data'!K$37:K$41)+SUM('Pt 1 Summary of Data'!M$37:M$41)-SUM('Pt 1 Summary of Data'!N$37:N$41)+MAX(0,MIN('Pt 1 Summary of Data'!K$42+'Pt 1 Summary of Data'!M$42-'Pt 1 Summary of Data'!N$42,0.3%*('Pt 1 Summary of Data'!K$5+'Pt 1 Summary of Data'!M$5-'Pt 1 Summary of Data'!N$5-SUM(J$10:J$11))))</f>
        <v>835451.77956801839</v>
      </c>
      <c r="K7" s="400">
        <f>SUM(H7:J7)</f>
        <v>3127137.7795680184</v>
      </c>
      <c r="L7" s="401">
        <f>SUM('Pt 1 Summary of Data'!O$37:O$41)+MAX(0,MIN(VALUE('Pt 1 Summary of Data'!O$42),0.3%*('Pt 1 Summary of Data'!O$5-L$10)))</f>
        <v>513802.84443433129</v>
      </c>
      <c r="M7" s="397">
        <v>3592693</v>
      </c>
      <c r="N7" s="398">
        <v>3160138</v>
      </c>
      <c r="O7" s="400">
        <f>SUM('Pt 1 Summary of Data'!Q$37:Q$41)+SUM('Pt 1 Summary of Data'!S$37:S$41)-SUM('Pt 1 Summary of Data'!T$37:T$41)+MAX(0,MIN('Pt 1 Summary of Data'!Q$42+'Pt 1 Summary of Data'!S$42-'Pt 1 Summary of Data'!T$42,0.3%*('Pt 1 Summary of Data'!Q$5+'Pt 1 Summary of Data'!S$5-'Pt 1 Summary of Data'!T$5)))</f>
        <v>3021329.7627055957</v>
      </c>
      <c r="P7" s="400">
        <f>SUM(M7:O7)</f>
        <v>9774160.7627055962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662540</v>
      </c>
      <c r="E8" s="400">
        <f>'Pt 2 Premium and Claims'!E58+'Pt 2 Premium and Claims'!G58-'Pt 2 Premium and Claims'!H58</f>
        <v>0</v>
      </c>
      <c r="F8" s="400">
        <f t="shared" si="0"/>
        <v>662540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5847163</v>
      </c>
      <c r="E9" s="400">
        <f>'Pt 2 Premium and Claims'!E$15+'Pt 2 Premium and Claims'!G$15-'Pt 2 Premium and Claims'!H$15</f>
        <v>5933937.2059629969</v>
      </c>
      <c r="F9" s="400">
        <f t="shared" si="0"/>
        <v>11781100.205962997</v>
      </c>
      <c r="G9" s="401">
        <f>'Pt 2 Premium and Claims'!I$15</f>
        <v>5933937.2059629969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2576272</v>
      </c>
      <c r="E10" s="400">
        <f>'Pt 2 Premium and Claims'!E$16+'Pt 2 Premium and Claims'!G$16-'Pt 2 Premium and Claims'!H$16</f>
        <v>-1713529.97</v>
      </c>
      <c r="F10" s="400">
        <f t="shared" si="0"/>
        <v>862742.03</v>
      </c>
      <c r="G10" s="401">
        <f>'Pt 2 Premium and Claims'!I$16</f>
        <v>-1713529.97</v>
      </c>
      <c r="H10" s="443"/>
      <c r="I10" s="398">
        <v>884572</v>
      </c>
      <c r="J10" s="400">
        <f>'Pt 2 Premium and Claims'!K$16+'Pt 2 Premium and Claims'!M$16-'Pt 2 Premium and Claims'!N$16</f>
        <v>3553914.02</v>
      </c>
      <c r="K10" s="400">
        <f>SUM(H10:J10)</f>
        <v>4438486.0199999996</v>
      </c>
      <c r="L10" s="401">
        <f>'Pt 2 Premium and Claims'!O$16</f>
        <v>3553914.02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-228696</v>
      </c>
      <c r="E11" s="400">
        <f>'Pt 2 Premium and Claims'!E$17+'Pt 2 Premium and Claims'!G$17-'Pt 2 Premium and Claims'!H$17</f>
        <v>0</v>
      </c>
      <c r="F11" s="400">
        <f t="shared" si="0"/>
        <v>-228696</v>
      </c>
      <c r="G11" s="450"/>
      <c r="H11" s="443"/>
      <c r="I11" s="398">
        <v>139</v>
      </c>
      <c r="J11" s="400">
        <f>'Pt 2 Premium and Claims'!K$17+'Pt 2 Premium and Claims'!M$17-'Pt 2 Premium and Claims'!N$17</f>
        <v>128133.6911907727</v>
      </c>
      <c r="K11" s="400">
        <f>SUM(H11:J11)</f>
        <v>128272.6911907727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930724</v>
      </c>
      <c r="D12" s="400">
        <f>SUM(D$6:D$7) - SUM(D$8:D$11)+IF(AND(OR('Company Information'!$C$12="District of Columbia",'Company Information'!$C$12="Massachusetts",'Company Information'!$C$12="Vermont"),SUM($C$6:$F$11,$C$15:$F$16,$C$38:$D$38)&lt;&gt;0),SUM(I$6:I$7) - SUM(I$10:I$11),0)</f>
        <v>14559794</v>
      </c>
      <c r="E12" s="400">
        <f>SUM(E$6:E$7)-SUM(E$8:E$11)+IF(AND(OR('Company Information'!$C$12="District of Columbia",'Company Information'!$C$12="Massachusetts",'Company Information'!$C$12="Vermont"),SUM($C$6:$F$11,$C$15:$F$16,$C$38:$D$38)&lt;&gt;0),SUM(J$6:J$7)-SUM(J$10:J$11),0)</f>
        <v>31052010.799690809</v>
      </c>
      <c r="F12" s="400">
        <f>IFERROR(SUM(C$12:E$12)+C$17*MAX(0,E$50-C$50)+D$17*MAX(0,E$50-D$50),0)</f>
        <v>46542528.799690813</v>
      </c>
      <c r="G12" s="447"/>
      <c r="H12" s="399">
        <f>SUM(H$6:H$7)+IF(AND(OR('Company Information'!$C$12="District of Columbia",'Company Information'!$C$12="Massachusetts",'Company Information'!$C$12="Vermont"),SUM($H$6:$K$11,$H$15:$K$16,$H$38:$I$38)&lt;&gt;0),SUM(C$6:C$7),0)</f>
        <v>119121031</v>
      </c>
      <c r="I12" s="400">
        <f>SUM(I$6:I$7) - SUM(I$10:I$11)+IF(AND(OR('Company Information'!$C$12="District of Columbia",'Company Information'!$C$12="Massachusetts",'Company Information'!$C$12="Vermont"),SUM($H$6:$K$11,$H$15:$K$16,$H$38:$I$38)&lt;&gt;0),SUM(D$6:D$7) - SUM(D$8:D$11),0)</f>
        <v>117308983</v>
      </c>
      <c r="J12" s="400">
        <f>SUM(J$6:J$7)-SUM(J$10:J$11)+IF(AND(OR('Company Information'!$C$12="District of Columbia",'Company Information'!$C$12="Massachusetts",'Company Information'!$C$12="Vermont"),SUM($H$6:$K$11,$H$15:$K$16,$H$38:$I$38)&lt;&gt;0),SUM(E$6:E$7)-SUM(E$8:E$11),0)</f>
        <v>117259972.07074663</v>
      </c>
      <c r="K12" s="400">
        <f>IFERROR(SUM(H$12:J$12)+H$17*MAX(0,J$50-H$50)+I$17*MAX(0,J$50-I$50),0)</f>
        <v>353689986.07074666</v>
      </c>
      <c r="L12" s="447"/>
      <c r="M12" s="399">
        <f>SUM(M$6:M$7)</f>
        <v>321134889</v>
      </c>
      <c r="N12" s="400">
        <f>SUM(N$6:N$7)</f>
        <v>385339055</v>
      </c>
      <c r="O12" s="400">
        <f>SUM(O$6:O$7)</f>
        <v>427431114.2382409</v>
      </c>
      <c r="P12" s="400">
        <f>SUM(M$12:O$12)+M$17*MAX(0,O$50-M$50)+N$17*MAX(0,O$50-N$50)</f>
        <v>1133905058.238241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540028</v>
      </c>
      <c r="D15" s="403">
        <v>17804696</v>
      </c>
      <c r="E15" s="395">
        <f>SUM('Pt 1 Summary of Data'!E$5:E$7)+SUM('Pt 1 Summary of Data'!G$5:G$7)-SUM('Pt 1 Summary of Data'!H$5:H$7)-SUM(E$9:E$11)</f>
        <v>36465371.669999994</v>
      </c>
      <c r="F15" s="395">
        <f>SUM(C15:E15)</f>
        <v>54810095.669999994</v>
      </c>
      <c r="G15" s="396">
        <f>SUM('Pt 1 Summary of Data'!I$5:I$7)-SUM(G$9:G$10)</f>
        <v>36465371.669999994</v>
      </c>
      <c r="H15" s="402">
        <v>127436640</v>
      </c>
      <c r="I15" s="403">
        <v>125464466</v>
      </c>
      <c r="J15" s="395">
        <f>SUM('Pt 1 Summary of Data'!K$5:K$7)+SUM('Pt 1 Summary of Data'!M$5:M$7)-SUM('Pt 1 Summary of Data'!N$5:N$7)-SUM(J$10:J$11)</f>
        <v>129558888.08776999</v>
      </c>
      <c r="K15" s="395">
        <f>SUM(H15:J15)</f>
        <v>382459994.08776999</v>
      </c>
      <c r="L15" s="396">
        <f>SUM('Pt 1 Summary of Data'!O$5:O$7)-L$10</f>
        <v>79678716.173978537</v>
      </c>
      <c r="M15" s="402">
        <v>344047281</v>
      </c>
      <c r="N15" s="403">
        <v>409515280</v>
      </c>
      <c r="O15" s="395">
        <f>SUM('Pt 1 Summary of Data'!Q$5:Q$7)+SUM('Pt 1 Summary of Data'!S$5:S$7)-SUM('Pt 1 Summary of Data'!T$5:T$7)+N$56</f>
        <v>472118892.82619768</v>
      </c>
      <c r="P15" s="395">
        <f>SUM(M15:O15)</f>
        <v>1225681453.8261976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2054</v>
      </c>
      <c r="D16" s="398">
        <v>938454</v>
      </c>
      <c r="E16" s="483">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2231386.9633876937</v>
      </c>
      <c r="F16" s="400">
        <f>SUM(C16:E16)</f>
        <v>3171894.9633876937</v>
      </c>
      <c r="G16" s="484">
        <f>SUM('Pt 1 Summary of Data'!I$25:I$28,'Pt 1 Summary of Data'!I$30,'Pt 1 Summary of Data'!I$34:I$35)+IF('Company Information'!$C$15="No",IF(MAX('Pt 1 Summary of Data'!I$31:I$32)=0,MIN('Pt 1 Summary of Data'!I$31:I$32),MAX('Pt 1 Summary of Data'!I$31:I$32)),SUM('Pt 1 Summary of Data'!I$31:I$32))</f>
        <v>2231386.9633876937</v>
      </c>
      <c r="H16" s="397">
        <v>462019</v>
      </c>
      <c r="I16" s="398">
        <v>4218740</v>
      </c>
      <c r="J16" s="483">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5779599.5288634216</v>
      </c>
      <c r="K16" s="400">
        <f>SUM(H16:J16)</f>
        <v>10460358.528863423</v>
      </c>
      <c r="L16" s="485">
        <f>SUM('Pt 1 Summary of Data'!O$25:O$28,'Pt 1 Summary of Data'!O$30,'Pt 1 Summary of Data'!O$34:O$35)+IF('Company Information'!$C$15="No",IF(MAX('Pt 1 Summary of Data'!O$31:O$32)=0,MIN('Pt 1 Summary of Data'!O$31:O$32),MAX('Pt 1 Summary of Data'!O$31:O$32)),SUM('Pt 1 Summary of Data'!O$31:O$32))</f>
        <v>3576492.8975843377</v>
      </c>
      <c r="M16" s="397">
        <v>1248380</v>
      </c>
      <c r="N16" s="398">
        <v>12602176</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19375143.717748892</v>
      </c>
      <c r="P16" s="400">
        <f>SUM(M16:O16)</f>
        <v>33225699.717748892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537974</v>
      </c>
      <c r="D17" s="400">
        <f>D$15-D$16+IF(AND(OR('Company Information'!$C$12="District of Columbia",'Company Information'!$C$12="Massachusetts",'Company Information'!$C$12="Vermont"),SUM($C$6:$F$11,$C$15:$F$16,$C$38:$D$38)&lt;&gt;0),I$15-I$16,0)</f>
        <v>16866242</v>
      </c>
      <c r="E17" s="400">
        <f>E$15-E$16+IF(AND(OR('Company Information'!$C$12="District of Columbia",'Company Information'!$C$12="Massachusetts",'Company Information'!$C$12="Vermont"),SUM($C$6:$F$11,$C$15:$F$16,$C$38:$D$38)&lt;&gt;0),J$15-J$16,0)</f>
        <v>34233984.706612304</v>
      </c>
      <c r="F17" s="400">
        <f>F$15-F$16+IF(AND(OR('Company Information'!$C$12="District of Columbia",'Company Information'!$C$12="Massachusetts",'Company Information'!$C$12="Vermont"),SUM($C$6:$F$11,$C$15:$F$16,$C$38:$D$38)&lt;&gt;0),K$15-K$16,0)</f>
        <v>51638200.706612304</v>
      </c>
      <c r="G17" s="450"/>
      <c r="H17" s="399">
        <f>H$15-H$16+IF(AND(OR('Company Information'!$C$12="District of Columbia",'Company Information'!$C$12="Massachusetts",'Company Information'!$C$12="Vermont"),SUM($H$6:$K$11,$H$15:$K$16,$H$38:$I$38)&lt;&gt;0),C$15-C$16,0)</f>
        <v>126974621</v>
      </c>
      <c r="I17" s="400">
        <f>I$15-I$16+IF(AND(OR('Company Information'!$C$12="District of Columbia",'Company Information'!$C$12="Massachusetts",'Company Information'!$C$12="Vermont"),SUM($H$6:$K$11,$H$15:$K$16,$H$38:$I$38)&lt;&gt;0),D$15-D$16,0)</f>
        <v>121245726</v>
      </c>
      <c r="J17" s="400">
        <f>J$15-J$16+IF(AND(OR('Company Information'!$C$12="District of Columbia",'Company Information'!$C$12="Massachusetts",'Company Information'!$C$12="Vermont"),SUM($H$6:$K$11,$H$15:$K$16,$H$38:$I$38)&lt;&gt;0),E$15-E$16,0)</f>
        <v>123779288.55890657</v>
      </c>
      <c r="K17" s="400">
        <f>K$15-K$16+IF(AND(OR('Company Information'!$C$12="District of Columbia",'Company Information'!$C$12="Massachusetts",'Company Information'!$C$12="Vermont"),SUM($H$6:$K$11,$H$15:$K$16,$H$38:$I$38)&lt;&gt;0),F$15-F$16,0)</f>
        <v>371999635.55890656</v>
      </c>
      <c r="L17" s="450"/>
      <c r="M17" s="399">
        <f>M$15-M$16</f>
        <v>342798901</v>
      </c>
      <c r="N17" s="400">
        <f>N$15-N$16</f>
        <v>396913104</v>
      </c>
      <c r="O17" s="400">
        <f>O$15-O$16</f>
        <v>452743749.1084488</v>
      </c>
      <c r="P17" s="400">
        <f>P$15-P$16</f>
        <v>1192455754.1084487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31052010.799690809</v>
      </c>
      <c r="H19" s="455"/>
      <c r="I19" s="454"/>
      <c r="J19" s="454"/>
      <c r="K19" s="454"/>
      <c r="L19" s="396">
        <f>SUM(L$6:L$7)-L$10+IF(AND(OR('Company Information'!$C$12="District of Columbia",'Company Information'!$C$12="Massachusetts",'Company Information'!$C$12="Vermont"),SUM($L$6:$L$10,$L$15:$L$16)&lt;&gt;0),SUM(G$6:G$7)-SUM(G$8:G$10),0)+L$58</f>
        <v>72193685.043591514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1956578.499683965</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9459994.8611279316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1711699.2353306152</v>
      </c>
      <c r="H21" s="443"/>
      <c r="I21" s="441"/>
      <c r="J21" s="441"/>
      <c r="K21" s="441"/>
      <c r="L21" s="401">
        <f>MAX(L$22,L$23)</f>
        <v>3805111.1638197103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1225395.4072375265</v>
      </c>
      <c r="H22" s="443"/>
      <c r="I22" s="441"/>
      <c r="J22" s="441"/>
      <c r="K22" s="441"/>
      <c r="L22" s="401">
        <f>L$15-L$19-L$16-L$20+IF(AND(OR('Company Information'!$C$12="District of Columbia",'Company Information'!$C$12="Massachusetts",'Company Information'!$C$12="Vermont"),SUM($L$6:$L$10,$L$15:$L$16)&lt;&gt;0),G$15-G$16,0)</f>
        <v>-5551456.6283252463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1711699.2353306152</v>
      </c>
      <c r="H23" s="443"/>
      <c r="I23" s="441"/>
      <c r="J23" s="441"/>
      <c r="K23" s="441"/>
      <c r="L23" s="401">
        <f>(3%+2%)*(L$15-L$16+IF(AND(OR('Company Information'!$C$12="District of Columbia",'Company Information'!$C$12="Massachusetts",'Company Information'!$C$12="Vermont"),SUM($L$6:$L$10,$L$15:$L$16)&lt;&gt;0),G$15-G$16,0))</f>
        <v>3805111.1638197103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1027019.5411983691</v>
      </c>
      <c r="H24" s="443"/>
      <c r="I24" s="441"/>
      <c r="J24" s="441"/>
      <c r="K24" s="441"/>
      <c r="L24" s="401">
        <f>3%*(L$15-L$16+IF(AND(OR('Company Information'!$C$12="District of Columbia",'Company Information'!$C$12="Massachusetts",'Company Information'!$C$12="Vermont"),SUM($L$6:$L$10,$L$15:$L$16)&lt;&gt;0),G$15-G$16,0))</f>
        <v>2283066.6982918261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5899664.6984022744</v>
      </c>
      <c r="H25" s="443"/>
      <c r="I25" s="441"/>
      <c r="J25" s="441"/>
      <c r="K25" s="441"/>
      <c r="L25" s="401">
        <f>MIN(L$26,L$27)</f>
        <v>16841598.922531977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5899664.6984022744</v>
      </c>
      <c r="H26" s="443"/>
      <c r="I26" s="441"/>
      <c r="J26" s="441"/>
      <c r="K26" s="441"/>
      <c r="L26" s="401">
        <f>L$20+L$21+L$16+IF(AND(OR('Company Information'!$C$12="District of Columbia",'Company Information'!$C$12="Massachusetts",'Company Information'!$C$12="Vermont"),SUM($L$6:$L$10,$L$15:$L$16)&lt;&gt;0),G$16,0)</f>
        <v>16841598.922531977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9762863.5988424011</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20318982.018391065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30565706.97159772</v>
      </c>
      <c r="H28" s="443"/>
      <c r="I28" s="441"/>
      <c r="J28" s="441"/>
      <c r="K28" s="441"/>
      <c r="L28" s="401">
        <f>L$15+IF(AND(OR('Company Information'!$C$12="District of Columbia",'Company Information'!$C$12="Massachusetts",'Company Information'!$C$12="Vermont"),SUM($L$6:$L$10,$L$15:$L$16)&lt;&gt;0),G$15,0)-L$25</f>
        <v>62837117.25144656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5413360.8703091852</v>
      </c>
      <c r="H29" s="443"/>
      <c r="I29" s="441"/>
      <c r="J29" s="441"/>
      <c r="K29" s="441"/>
      <c r="L29" s="401">
        <f>MIN(L$31,L$32)</f>
        <v>15319554.457004096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1225395.4072375265</v>
      </c>
      <c r="H30" s="443"/>
      <c r="I30" s="441"/>
      <c r="J30" s="441"/>
      <c r="K30" s="441"/>
      <c r="L30" s="471">
        <f>MAX(L$22,L$24)</f>
        <v>2283066.6982918261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5413360.8703091852</v>
      </c>
      <c r="H31" s="443"/>
      <c r="I31" s="441"/>
      <c r="J31" s="441"/>
      <c r="K31" s="441"/>
      <c r="L31" s="401">
        <f>L$20+L30+L$16+IF(AND(OR('Company Information'!$C$12="District of Columbia",'Company Information'!$C$12="Massachusetts",'Company Information'!$C$12="Vermont"),SUM($L$6:$L$10,$L$15:$L$16)&lt;&gt;0),G$16,0)</f>
        <v>15319554.457004096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9078183.904710155</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18796937.552863181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31052010.799690809</v>
      </c>
      <c r="H33" s="443"/>
      <c r="I33" s="441"/>
      <c r="J33" s="441"/>
      <c r="K33" s="441"/>
      <c r="L33" s="401">
        <f>L$15+IF(AND(OR('Company Information'!$C$12="District of Columbia",'Company Information'!$C$12="Massachusetts",'Company Information'!$C$12="Vermont"),SUM($L$6:$L$10,$L$15:$L$16)&lt;&gt;0),G$15,0)-L$29</f>
        <v>64359161.716974437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v>
      </c>
      <c r="H34" s="462"/>
      <c r="I34" s="463"/>
      <c r="J34" s="463"/>
      <c r="K34" s="463"/>
      <c r="L34" s="469">
        <f>IF(L$33=0,0,L$19/L$33)</f>
        <v>1.1217312829690067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3757611.3543316526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128133.6911907727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95</v>
      </c>
      <c r="D38" s="405">
        <v>3413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6878.666666666667</v>
      </c>
      <c r="F38" s="432">
        <f>SUM(C$38:E$38)+IF(AND(OR('Company Information'!$C$12="District of Columbia",'Company Information'!$C$12="Massachusetts",'Company Information'!$C$12="Vermont"),SUM($C$6:$F$11,$C$15:$F$16,$C$38:$D$38)&lt;&gt;0,SUM(C$38:D$38)&lt;&gt;SUM(H$38:I$38)),SUM(H$38:I$38),0)</f>
        <v>10386.666666666668</v>
      </c>
      <c r="G38" s="448"/>
      <c r="H38" s="404">
        <v>29185</v>
      </c>
      <c r="I38" s="405">
        <v>28684</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29402.916666666668</v>
      </c>
      <c r="K38" s="432">
        <f>SUM(H$38:J$38)+IF(AND(OR('Company Information'!$C$12="District of Columbia",'Company Information'!$C$12="Massachusetts",'Company Information'!$C$12="Vermont"),SUM($H$6:$K$11,$H$15:$K$16,$H$38:$I$38)&lt;&gt;0,SUM(H$38:I$38)&lt;&gt;SUM(C$38:D$38)),SUM(C$38:D$38),0)</f>
        <v>87271.916666666672</v>
      </c>
      <c r="L38" s="448"/>
      <c r="M38" s="404">
        <v>68558</v>
      </c>
      <c r="N38" s="405">
        <v>75904</v>
      </c>
      <c r="O38" s="432">
        <f>('Pt 1 Summary of Data'!Q$59+'Pt 1 Summary of Data'!S$59-'Pt 1 Summary of Data'!T$59)/12</f>
        <v>81646.416666666672</v>
      </c>
      <c r="P38" s="432">
        <f>SUM(M$38:O$38)</f>
        <v>226108.41666666669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2.5742222222222222E-2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2.5742222222222222E-2</v>
      </c>
      <c r="G42" s="447"/>
      <c r="H42" s="443"/>
      <c r="I42" s="441"/>
      <c r="J42" s="441"/>
      <c r="K42" s="436">
        <f>IF(OR(K$38&lt;1000,K$38&gt;=75000),0,K$39*K$41)</f>
        <v>0</v>
      </c>
      <c r="L42" s="447"/>
      <c r="M42" s="443"/>
      <c r="N42" s="441"/>
      <c r="O42" s="441"/>
      <c r="P42" s="436">
        <f>IF(OR(P$38&lt;1000,P$38&gt;=75000),0,P$39*P$41)</f>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0.86325062808893649</v>
      </c>
      <c r="E45" s="436">
        <f>IF(OR(E$38&lt;1000,E$17&lt;=0),"",E$12/E$17)</f>
        <v>0.90705218997463377</v>
      </c>
      <c r="F45" s="436">
        <f>IF(OR(F$38&lt;1000,F$17&lt;=0),"",F$12/F$17)</f>
        <v>0.90131972382475001</v>
      </c>
      <c r="G45" s="447"/>
      <c r="H45" s="438">
        <f>IF(OR(H$38&lt;1000,H$17&lt;=0),"",H$12/H$17)</f>
        <v>0.93814834855856744</v>
      </c>
      <c r="I45" s="436">
        <f>IF(OR(I$38&lt;1000,I$17&lt;=0),"",I$12/I$17)</f>
        <v>0.96753087197481913</v>
      </c>
      <c r="J45" s="436">
        <f>IF(OR(J$38&lt;1000,J$17&lt;=0),"",J$12/J$17)</f>
        <v>0.94733112006006237</v>
      </c>
      <c r="K45" s="436">
        <f>IF(OR(K$38&lt;1000,K$17&lt;=0),"",K$12/K$17)</f>
        <v>0.95078046390918969</v>
      </c>
      <c r="L45" s="447"/>
      <c r="M45" s="438">
        <f>IF(OR(M$38&lt;1000,M$17&lt;=0),"",M$12/M$17)</f>
        <v>0.93680256285302388</v>
      </c>
      <c r="N45" s="436">
        <f>IF(OR(N$38&lt;1000,N$17&lt;=0),"",N$12/N$17)</f>
        <v>0.97083984155887182</v>
      </c>
      <c r="O45" s="436">
        <f>IF(OR(O$38&lt;1000,O$17&lt;=0),"",O$12/O$17)</f>
        <v>0.9440905922609556</v>
      </c>
      <c r="P45" s="436">
        <f>IF(OR(P$38&lt;1000,P$17&lt;=0),"",P$12/P$17)</f>
        <v>0.95089906215096109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2.5742222222222222E-2</v>
      </c>
      <c r="G47" s="447"/>
      <c r="H47" s="443"/>
      <c r="I47" s="441"/>
      <c r="J47" s="441"/>
      <c r="K47" s="436">
        <f>IF(K$45="","",K$42)</f>
        <v>0</v>
      </c>
      <c r="L47" s="447"/>
      <c r="M47" s="443"/>
      <c r="N47" s="441"/>
      <c r="O47" s="441"/>
      <c r="P47" s="436">
        <f>IF(P$45="","",P$42)</f>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0.92700000000000005</v>
      </c>
      <c r="G48" s="447"/>
      <c r="H48" s="443"/>
      <c r="I48" s="441"/>
      <c r="J48" s="441"/>
      <c r="K48" s="436">
        <f>IF(K$45="","",ROUND(K$45+MAX(0,K$47),3))</f>
        <v>0.95099999999999996</v>
      </c>
      <c r="L48" s="447"/>
      <c r="M48" s="443"/>
      <c r="N48" s="441"/>
      <c r="O48" s="441"/>
      <c r="P48" s="436">
        <f>IF(P$45="","",ROUND(P$45+MAX(0,P$47),3))</f>
        <v>0.95099999999999996</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0.92700000000000005</v>
      </c>
      <c r="G51" s="447"/>
      <c r="H51" s="444"/>
      <c r="I51" s="442"/>
      <c r="J51" s="442"/>
      <c r="K51" s="436">
        <f>K$48</f>
        <v>0.95099999999999996</v>
      </c>
      <c r="L51" s="447"/>
      <c r="M51" s="444"/>
      <c r="N51" s="442"/>
      <c r="O51" s="442"/>
      <c r="P51" s="436">
        <f>P$48</f>
        <v>0.95099999999999996</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34233984.706612304</v>
      </c>
      <c r="G52" s="447"/>
      <c r="H52" s="443"/>
      <c r="I52" s="441"/>
      <c r="J52" s="441"/>
      <c r="K52" s="400">
        <f>IF(K$38&lt;1000,"",MAX(0,J$15-J$16))</f>
        <v>123779288.55890657</v>
      </c>
      <c r="L52" s="447"/>
      <c r="M52" s="443"/>
      <c r="N52" s="441"/>
      <c r="O52" s="441"/>
      <c r="P52" s="400">
        <f>IF(P$38&lt;1000,"",MAX(0,O$15-O$16))</f>
        <v>452743749.1084488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680" yWindow="739"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6851</v>
      </c>
      <c r="D4" s="104">
        <f>'Pt 1 Summary of Data'!$K$56+'Pt 1 Summary of Data'!$M$56-'Pt 1 Summary of Data'!$N$56</f>
        <v>4425</v>
      </c>
      <c r="E4" s="104">
        <f>'Pt 1 Summary of Data'!$Q$56+'Pt 1 Summary of Data'!$S$56-'Pt 1 Summary of Data'!$T$56</f>
        <v>300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 Camacho</cp:lastModifiedBy>
  <cp:lastPrinted>2014-12-18T11:24:00Z</cp:lastPrinted>
  <dcterms:created xsi:type="dcterms:W3CDTF">2012-03-15T16:14:51Z</dcterms:created>
  <dcterms:modified xsi:type="dcterms:W3CDTF">2016-07-27T19:01:16Z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