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23880" windowHeight="991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Data'!$B$1:$Q$62</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4" i="16" l="1"/>
  <c r="D4" i="16"/>
  <c r="C4" i="16"/>
  <c r="P51" i="10" l="1"/>
  <c r="P50" i="10"/>
  <c r="K51" i="10"/>
  <c r="K50" i="10"/>
  <c r="F51" i="10"/>
  <c r="F50" i="10"/>
  <c r="P46" i="10"/>
  <c r="P47" i="10" s="1"/>
  <c r="K47" i="10"/>
  <c r="K46" i="10"/>
  <c r="F46" i="10"/>
  <c r="F47" i="10" s="1"/>
  <c r="P38" i="10"/>
  <c r="O37" i="10"/>
  <c r="P37" i="10"/>
  <c r="O16" i="10"/>
  <c r="P16" i="10" s="1"/>
  <c r="O15" i="10"/>
  <c r="P15" i="10" s="1"/>
  <c r="O44" i="10"/>
  <c r="K44" i="10"/>
  <c r="J44" i="10"/>
  <c r="F44" i="10"/>
  <c r="E44" i="10"/>
  <c r="K41" i="10"/>
  <c r="F41" i="10"/>
  <c r="K38" i="10"/>
  <c r="J37" i="10"/>
  <c r="K37" i="10" s="1"/>
  <c r="F38" i="10"/>
  <c r="E37" i="10"/>
  <c r="F37" i="10"/>
  <c r="L35" i="10"/>
  <c r="L34" i="10"/>
  <c r="L29" i="10"/>
  <c r="L28" i="10"/>
  <c r="L25" i="10"/>
  <c r="L24" i="10"/>
  <c r="L23" i="10"/>
  <c r="L27" i="10" s="1"/>
  <c r="G35" i="10"/>
  <c r="G34" i="10"/>
  <c r="G28" i="10"/>
  <c r="G29" i="10" s="1"/>
  <c r="G25" i="10"/>
  <c r="G24" i="10"/>
  <c r="G23" i="10" s="1"/>
  <c r="G27" i="10" s="1"/>
  <c r="L16" i="10"/>
  <c r="L15" i="10"/>
  <c r="L10" i="10"/>
  <c r="L20" i="10"/>
  <c r="L7" i="10"/>
  <c r="L6" i="10"/>
  <c r="J7" i="10"/>
  <c r="K7" i="10" s="1"/>
  <c r="K6" i="10"/>
  <c r="J6" i="10"/>
  <c r="G7" i="10"/>
  <c r="G6" i="10"/>
  <c r="F7" i="10"/>
  <c r="F6" i="10"/>
  <c r="G19" i="10"/>
  <c r="G21" i="10" s="1"/>
  <c r="G20" i="10"/>
  <c r="K17" i="10"/>
  <c r="J17" i="10"/>
  <c r="K16" i="10"/>
  <c r="J16" i="10"/>
  <c r="J15" i="10"/>
  <c r="K15" i="10" s="1"/>
  <c r="G16" i="10"/>
  <c r="G15" i="10"/>
  <c r="E16" i="10"/>
  <c r="F16" i="10" s="1"/>
  <c r="E15" i="10"/>
  <c r="O7" i="10"/>
  <c r="O6" i="10"/>
  <c r="O12" i="10" s="1"/>
  <c r="P7" i="10"/>
  <c r="J11" i="10"/>
  <c r="K11" i="10" s="1"/>
  <c r="E11" i="10"/>
  <c r="E12" i="10"/>
  <c r="K10" i="10"/>
  <c r="J10" i="10"/>
  <c r="G10" i="10"/>
  <c r="G9" i="10"/>
  <c r="E10" i="10"/>
  <c r="F10" i="10" s="1"/>
  <c r="E9" i="10"/>
  <c r="F9" i="10" s="1"/>
  <c r="Q54" i="18"/>
  <c r="P54" i="18"/>
  <c r="P12" i="4" s="1"/>
  <c r="O54" i="18"/>
  <c r="K54" i="18"/>
  <c r="J54" i="18"/>
  <c r="J12" i="4" s="1"/>
  <c r="I54" i="18"/>
  <c r="E54" i="18"/>
  <c r="E12" i="4" s="1"/>
  <c r="E6" i="10" s="1"/>
  <c r="E7" i="10"/>
  <c r="Q12" i="4"/>
  <c r="M12" i="4"/>
  <c r="I12" i="4"/>
  <c r="D54" i="18"/>
  <c r="D12" i="4" s="1"/>
  <c r="O5" i="4"/>
  <c r="J5" i="4"/>
  <c r="Q60" i="4"/>
  <c r="P60" i="4"/>
  <c r="O60" i="4"/>
  <c r="K60" i="4"/>
  <c r="J60" i="4"/>
  <c r="I60" i="4"/>
  <c r="E60" i="4"/>
  <c r="D60" i="4"/>
  <c r="T12" i="4"/>
  <c r="S12" i="4"/>
  <c r="R12" i="4"/>
  <c r="O12" i="4"/>
  <c r="N12" i="4"/>
  <c r="L12" i="4"/>
  <c r="K12" i="4"/>
  <c r="H12" i="4"/>
  <c r="G12" i="4"/>
  <c r="F12" i="4"/>
  <c r="P8" i="4"/>
  <c r="J8" i="4"/>
  <c r="D8" i="4"/>
  <c r="T5" i="4"/>
  <c r="S5" i="4"/>
  <c r="R5" i="4"/>
  <c r="Q5" i="4"/>
  <c r="P5" i="4"/>
  <c r="N5" i="4"/>
  <c r="M5" i="4"/>
  <c r="L5" i="4"/>
  <c r="K5" i="4"/>
  <c r="I5" i="4"/>
  <c r="H5" i="4"/>
  <c r="G5" i="4"/>
  <c r="F5" i="4"/>
  <c r="E5" i="4"/>
  <c r="P41" i="10" l="1"/>
  <c r="P44" i="10"/>
  <c r="O17" i="10"/>
  <c r="P17" i="10" s="1"/>
  <c r="L31" i="10"/>
  <c r="L32" i="10" s="1"/>
  <c r="L33" i="10" s="1"/>
  <c r="L26" i="10"/>
  <c r="L30" i="10" s="1"/>
  <c r="G31" i="10"/>
  <c r="G32" i="10" s="1"/>
  <c r="G33" i="10" s="1"/>
  <c r="G26" i="10"/>
  <c r="G30" i="10" s="1"/>
  <c r="L19" i="10"/>
  <c r="L21" i="10" s="1"/>
  <c r="J12" i="10"/>
  <c r="K12" i="10"/>
  <c r="E17" i="10"/>
  <c r="F15" i="10"/>
  <c r="F17" i="10" s="1"/>
  <c r="P6" i="10"/>
  <c r="P12" i="10" s="1"/>
  <c r="F11" i="10"/>
  <c r="F12" i="10" s="1"/>
  <c r="D5" i="4"/>
</calcChain>
</file>

<file path=xl/sharedStrings.xml><?xml version="1.0" encoding="utf-8"?>
<sst xmlns="http://schemas.openxmlformats.org/spreadsheetml/2006/main" count="590" uniqueCount="523">
  <si>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</si>
  <si>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</si>
  <si>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</si>
  <si>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</si>
  <si>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</si>
  <si>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</si>
  <si>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</si>
  <si>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</si>
  <si>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</si>
  <si>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</si>
  <si>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</si>
  <si>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</si>
  <si>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</si>
  <si>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</si>
  <si>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</si>
  <si>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</si>
  <si>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</si>
  <si>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</si>
  <si>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</si>
  <si>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</si>
  <si>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</si>
  <si>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</si>
  <si>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</si>
  <si>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</si>
  <si>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</si>
  <si>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</si>
  <si>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</si>
  <si>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</si>
  <si>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</si>
  <si>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</si>
  <si>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</si>
  <si>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</si>
  <si>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</si>
  <si>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</si>
  <si>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</si>
  <si>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</si>
  <si>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</si>
  <si>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</si>
  <si>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</si>
  <si>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</si>
  <si>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</si>
  <si>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</si>
  <si>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</si>
  <si>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</si>
  <si>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</si>
  <si>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</si>
  <si>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</si>
  <si>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</si>
  <si>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</si>
  <si>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</si>
  <si>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</si>
  <si>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</si>
  <si>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</si>
  <si>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</si>
  <si>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</si>
  <si>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</si>
  <si>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</si>
  <si>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</si>
  <si>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</si>
  <si>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</si>
  <si>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</si>
  <si>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</si>
  <si>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</si>
  <si>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</si>
  <si>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</si>
  <si>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</si>
  <si>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</si>
  <si>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</si>
  <si>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</si>
  <si>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</si>
  <si>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</si>
  <si>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</si>
  <si>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</si>
  <si>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</si>
  <si>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</si>
  <si>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</si>
  <si>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</si>
  <si>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</si>
  <si>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</si>
  <si>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</si>
  <si>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</si>
  <si>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</si>
  <si>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</si>
  <si>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</si>
  <si>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</si>
  <si>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</si>
  <si>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</si>
  <si>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</si>
  <si>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</si>
  <si>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</si>
  <si>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</si>
  <si>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</si>
  <si>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</si>
  <si>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</si>
  <si>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</si>
  <si>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</si>
  <si>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</si>
  <si>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</si>
  <si>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</si>
  <si>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</si>
  <si>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</si>
  <si>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</si>
  <si>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</si>
  <si>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</si>
  <si>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</si>
  <si>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</si>
  <si>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</si>
  <si>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</si>
  <si>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</si>
  <si>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</si>
  <si>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</si>
  <si>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</si>
  <si>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</si>
  <si>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</si>
  <si>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</si>
  <si>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</si>
  <si>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</si>
  <si>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</si>
  <si>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</si>
  <si>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</si>
  <si>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</si>
  <si>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</si>
  <si>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</si>
  <si>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</si>
  <si>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</si>
  <si>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</si>
  <si>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</si>
  <si>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</si>
  <si>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</si>
  <si>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</si>
  <si>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</si>
  <si>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</si>
  <si>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</si>
  <si>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</si>
  <si>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</si>
  <si>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</si>
  <si>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</si>
  <si>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</si>
  <si>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</si>
  <si>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</si>
  <si>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</si>
  <si>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</si>
  <si>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</si>
  <si>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</si>
  <si>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</si>
  <si>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</si>
  <si>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</si>
  <si>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</si>
  <si>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</si>
  <si>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</si>
  <si>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</si>
  <si>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</si>
  <si>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</si>
  <si>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</si>
  <si>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</si>
  <si>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</si>
  <si>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</si>
  <si>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</si>
  <si>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</si>
  <si>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</si>
  <si>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</si>
  <si>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</si>
  <si>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</si>
  <si>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</si>
  <si>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</si>
  <si>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</si>
  <si>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</si>
  <si>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</si>
  <si>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</si>
  <si>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</si>
  <si>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</si>
  <si>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</si>
  <si>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</si>
  <si>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</si>
  <si>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</si>
  <si>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</si>
  <si>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</si>
  <si>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</si>
  <si>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</si>
  <si>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</si>
  <si>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</si>
  <si>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</si>
  <si>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</si>
  <si>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</si>
  <si>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</si>
  <si>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</si>
  <si>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</si>
  <si>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</si>
  <si>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</si>
  <si>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</si>
  <si>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</si>
  <si>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</si>
  <si>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</si>
  <si>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</si>
  <si>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</si>
  <si>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</si>
  <si>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</si>
  <si>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</si>
  <si>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</si>
  <si>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</si>
  <si>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</si>
  <si>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</si>
  <si>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</si>
  <si>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</si>
  <si>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</si>
  <si>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</si>
  <si>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</si>
  <si>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</si>
  <si>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</si>
  <si>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</si>
  <si>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</si>
  <si>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</si>
  <si>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</si>
  <si>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</si>
  <si>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</si>
  <si>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</si>
  <si>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</si>
  <si>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</si>
  <si>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</si>
  <si>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</si>
  <si>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</si>
  <si>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</si>
  <si>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</si>
  <si>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</si>
  <si>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</si>
  <si>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</si>
  <si>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</si>
  <si>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</si>
  <si>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</si>
  <si>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</si>
  <si>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</si>
  <si>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</si>
  <si>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</si>
  <si>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</si>
  <si>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</si>
  <si>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</si>
  <si>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</si>
  <si>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</si>
  <si>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</si>
  <si>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</si>
  <si>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</si>
  <si>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</si>
  <si>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</si>
  <si>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</si>
  <si>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</si>
  <si>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</si>
  <si>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</si>
  <si>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</si>
  <si>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</si>
  <si>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</si>
  <si>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</si>
  <si>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</si>
  <si>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</si>
  <si>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</si>
  <si>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</si>
  <si>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</si>
  <si>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</si>
  <si>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</si>
  <si>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</si>
  <si>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</si>
  <si>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</si>
  <si>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</si>
  <si>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</si>
  <si>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</si>
  <si>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</si>
  <si>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</si>
  <si>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</si>
  <si>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</si>
  <si>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</si>
  <si>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</si>
  <si>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</si>
  <si>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</si>
  <si>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</si>
  <si>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</si>
  <si>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</si>
  <si>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</si>
  <si>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</si>
  <si>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</si>
  <si>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</si>
  <si>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</si>
  <si>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</si>
  <si>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</si>
  <si>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</si>
  <si>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</si>
  <si>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</si>
  <si>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</si>
  <si>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</si>
  <si>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</si>
  <si>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</si>
  <si>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</si>
  <si>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</si>
  <si>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</si>
  <si>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</si>
  <si>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</si>
  <si>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</si>
  <si>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</si>
  <si>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</si>
  <si>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</si>
  <si>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</si>
  <si>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</si>
  <si>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</si>
  <si>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</si>
  <si>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</si>
  <si>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</si>
  <si>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</si>
  <si>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</si>
  <si>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</si>
  <si>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</si>
  <si>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</si>
  <si>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</si>
  <si>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</si>
  <si>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</si>
  <si>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</si>
  <si>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</si>
  <si>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</si>
  <si>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</si>
  <si>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</si>
  <si>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</si>
  <si>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</si>
  <si>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</si>
  <si>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</si>
  <si>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</si>
  <si>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</si>
  <si>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</si>
  <si>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</si>
  <si>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</si>
  <si>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</si>
  <si>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</si>
  <si>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</si>
  <si>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</si>
  <si>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</si>
  <si>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</si>
  <si>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</si>
  <si>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</si>
  <si>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</si>
  <si>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</si>
  <si>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</si>
  <si>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</si>
  <si>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</si>
  <si>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</si>
  <si>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</si>
  <si>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</si>
  <si>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</si>
  <si>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</si>
  <si>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</si>
  <si>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</si>
  <si>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</si>
  <si>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</si>
  <si>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</si>
  <si>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</si>
  <si>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</si>
  <si>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</si>
  <si>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</si>
  <si>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</si>
  <si>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</si>
  <si>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</si>
  <si>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</si>
  <si>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</si>
  <si>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</si>
  <si>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</si>
  <si>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</si>
  <si>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</si>
  <si>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</si>
  <si>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</si>
  <si>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</si>
  <si>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</si>
  <si>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</si>
  <si>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</si>
  <si>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</si>
  <si>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</si>
  <si>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</si>
  <si>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</si>
  <si>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</si>
  <si>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</si>
  <si>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</si>
  <si>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</si>
  <si>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</si>
  <si>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</si>
  <si>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</si>
  <si>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</si>
  <si>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</si>
  <si>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</si>
  <si>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</si>
  <si>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</si>
  <si>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</si>
  <si>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</si>
  <si>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</si>
  <si>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</si>
  <si>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</si>
  <si>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</si>
  <si>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</si>
  <si>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</si>
  <si>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</si>
  <si>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</si>
  <si>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</si>
  <si>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</si>
  <si>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</si>
  <si>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</si>
  <si>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</si>
  <si>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</si>
  <si>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</si>
  <si>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</si>
  <si>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</si>
  <si>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</si>
  <si>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</si>
  <si>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</si>
  <si>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</si>
  <si>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</si>
  <si>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</si>
  <si>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</si>
  <si>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</si>
  <si>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</si>
  <si>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</si>
  <si>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</si>
  <si>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</si>
  <si>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</si>
  <si>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</si>
  <si>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</si>
  <si>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</si>
  <si>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</si>
  <si>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</si>
  <si>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</si>
  <si>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</si>
  <si>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</si>
  <si>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</si>
  <si>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</si>
  <si>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</si>
  <si>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</si>
  <si>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</si>
  <si>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</si>
  <si>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</si>
  <si>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</si>
  <si>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</si>
  <si>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</si>
  <si>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</si>
  <si>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</si>
  <si>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</si>
  <si>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</si>
  <si>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</si>
  <si>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</si>
  <si>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</si>
  <si>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</si>
  <si>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</si>
  <si>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</si>
  <si>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</si>
  <si>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</si>
  <si>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</si>
  <si>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</si>
  <si>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</si>
  <si>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</si>
  <si>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</si>
  <si>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</si>
  <si>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</si>
  <si>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</si>
  <si>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</si>
  <si>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</si>
  <si>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</si>
  <si>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</si>
  <si>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</si>
  <si>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</si>
  <si>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</si>
  <si>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</si>
  <si>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</si>
  <si>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</si>
  <si>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</si>
  <si>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</si>
  <si>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</si>
  <si>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</si>
  <si>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</si>
  <si>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</si>
  <si>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</si>
  <si>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</si>
  <si>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</si>
  <si>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</si>
  <si>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</si>
  <si>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</si>
  <si>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</si>
  <si>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</si>
  <si>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</si>
  <si>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</si>
  <si>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</si>
  <si>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</si>
  <si>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</si>
  <si>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</si>
  <si>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</si>
  <si>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</si>
  <si>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</si>
  <si>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</si>
  <si>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</si>
  <si>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</si>
  <si>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</si>
  <si>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</si>
  <si>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</si>
  <si>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</si>
  <si>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CoOportunity Health</t>
  </si>
  <si>
    <t>2014</t>
  </si>
  <si>
    <t>2700 Westown Pkwy, Ste 345 West Des Moines, IA 50266-1411</t>
  </si>
  <si>
    <t>453468530</t>
  </si>
  <si>
    <t>637</t>
  </si>
  <si>
    <t>Incurred Claims</t>
  </si>
  <si>
    <t>Prescription Drugs</t>
  </si>
  <si>
    <t>Pharmaceutical rebates</t>
  </si>
  <si>
    <t xml:space="preserve">Claims are booked directly to appropriate line of business (i.e. Large Group, Small Group, Individual) based on the member's policy. </t>
  </si>
  <si>
    <t xml:space="preserve">Prescription Drugs are booked directly to appropriate line of business (i.e. Large Group, Small Group, Individual) based on the member's policy. </t>
  </si>
  <si>
    <t xml:space="preserve">Pharmaceutical Rebates are booked directly to appropriate line of business (i.e. Large Group, Small Group, Individual) based on the member's policy. </t>
  </si>
  <si>
    <t>3.1b Patient Cetnered Outcomes Research Insitute (PCORI) Fee</t>
  </si>
  <si>
    <t>3.1c Affordable Care Act section 9101 Fee</t>
  </si>
  <si>
    <t xml:space="preserve">Fee is allocated to lines of business based on membership counts. </t>
  </si>
  <si>
    <t>3.2b State Premium taxes</t>
  </si>
  <si>
    <t>Premium taxes are allocated to lines of business based on total premiums</t>
  </si>
  <si>
    <t>Contributions are allocated to lines of business based on membership counts</t>
  </si>
  <si>
    <t>Improve health outcome costs are allocated to lines of business based on total premiums</t>
  </si>
  <si>
    <t xml:space="preserve">5.1 Cost Containment expenses </t>
  </si>
  <si>
    <t>Cost Containment Expenses are allocated to lines of business based on total premiums</t>
  </si>
  <si>
    <t>5.2 All other claims adjustment expense</t>
  </si>
  <si>
    <t>All other claims adjustment expenses are allocated to lines of business based on total premiums</t>
  </si>
  <si>
    <t>Direct sales salaries and benefits are allocated to lines of business based on total premiums</t>
  </si>
  <si>
    <t>Agent and broker fees and commissions are allocated to lines of business based on total premiums</t>
  </si>
  <si>
    <t>5.4 Agent and brokers fees and commission</t>
  </si>
  <si>
    <t>5.5a Taxes and assessment</t>
  </si>
  <si>
    <t>Taxes and assessment are allocated to lines of business based on total premiums</t>
  </si>
  <si>
    <t>other general and administrative expenses are allocated to lines of business based on total premiums</t>
  </si>
  <si>
    <t>5.6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</si>
</sst>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8"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498</v>
      </c>
      <c r="B4" s="233" t="s">
        <v>45</v>
      </c>
      <c r="C4" s="379" t="s">
        <v>494</v>
      </c>
    </row>
    <row r="5" spans="1:6" x14ac:dyDescent="0.2">
      <c r="B5" s="233" t="s">
        <v>215</v>
      </c>
      <c r="C5" s="379" t="s">
        <v>494</v>
      </c>
    </row>
    <row r="6" spans="1:6" x14ac:dyDescent="0.2">
      <c r="B6" s="233" t="s">
        <v>216</v>
      </c>
      <c r="C6" s="379" t="s">
        <v>497</v>
      </c>
    </row>
    <row r="7" spans="1:6" x14ac:dyDescent="0.2">
      <c r="B7" s="233" t="s">
        <v>128</v>
      </c>
      <c r="C7" s="379"/>
    </row>
    <row r="8" spans="1:6" x14ac:dyDescent="0.2">
      <c r="B8" s="233" t="s">
        <v>36</v>
      </c>
      <c r="C8" s="379"/>
    </row>
    <row r="9" spans="1:6" x14ac:dyDescent="0.2">
      <c r="B9" s="233" t="s">
        <v>41</v>
      </c>
      <c r="C9" s="379"/>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152</v>
      </c>
    </row>
    <row r="14" spans="1:6" x14ac:dyDescent="0.2">
      <c r="B14" s="233" t="s">
        <v>51</v>
      </c>
      <c r="C14" s="379" t="s">
        <v>496</v>
      </c>
    </row>
    <row r="15" spans="1:6" x14ac:dyDescent="0.2">
      <c r="B15" s="233" t="s">
        <v>217</v>
      </c>
      <c r="C15" s="379" t="s">
        <v>133</v>
      </c>
    </row>
    <row r="16" spans="1:6" x14ac:dyDescent="0.2">
      <c r="B16" s="234" t="s">
        <v>219</v>
      </c>
      <c r="C16" s="381" t="s">
        <v>135</v>
      </c>
    </row>
    <row r="17" spans="1:3" x14ac:dyDescent="0.2">
      <c r="B17" s="233" t="s">
        <v>218</v>
      </c>
      <c r="C17" s="379" t="s">
        <v>133</v>
      </c>
    </row>
    <row r="18" spans="1:3" x14ac:dyDescent="0.2">
      <c r="B18" s="235" t="s">
        <v>53</v>
      </c>
      <c r="C18" s="379" t="s">
        <v>495</v>
      </c>
    </row>
    <row r="19" spans="1:3" x14ac:dyDescent="0.2">
      <c r="A19" s="248" t="s">
        <v>488</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52" activePane="bottomRight" state="frozen"/>
      <selection activeCell="B1" sqref="B1"/>
      <selection pane="topRight" activeCell="B1" sqref="B1"/>
      <selection pane="bottomLeft" activeCell="B1" sqref="B1"/>
      <selection pane="bottomRight" activeCell="N3" sqref="N3"/>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'Pt 2 Premium and Claims'!D5+'Pt 2 Premium and Claims'!D6-'Pt 2 Premium and Claims'!D7-'Pt 2 Premium and Claims'!D13+'Pt 2 Premium and Claims'!D14+'Pt 2 Premium and Claims'!D15+'Pt 2 Premium and Claims'!D16+'Pt 2 Premium and Claims'!D17</f>
        <v>337069806.06</v>
      </c>
      <c r="E5" s="107">
        <f>'Pt 2 Premium and Claims'!E5+'Pt 2 Premium and Claims'!E6-'Pt 2 Premium and Claims'!E7-'Pt 2 Premium and Claims'!E13+'Pt 2 Premium and Claims'!E14+'Pt 2 Premium and Claims'!E15+'Pt 2 Premium and Claims'!E16+'Pt 2 Premium and Claims'!E17</f>
        <v>337069807.06</v>
      </c>
      <c r="F5" s="107">
        <f>'Pt 2 Premium and Claims'!F5+'Pt 2 Premium and Claims'!F6-'Pt 2 Premium and Claims'!F7-'Pt 2 Premium and Claims'!F13+'Pt 2 Premium and Claims'!F14+'Pt 2 Premium and Claims'!F15+'Pt 2 Premium and Claims'!F16+'Pt 2 Premium and Claims'!F17</f>
        <v>0</v>
      </c>
      <c r="G5" s="107">
        <f>'Pt 2 Premium and Claims'!G5+'Pt 2 Premium and Claims'!G6-'Pt 2 Premium and Claims'!G7-'Pt 2 Premium and Claims'!G13+'Pt 2 Premium and Claims'!G14+'Pt 2 Premium and Claims'!G15+'Pt 2 Premium and Claims'!G16+'Pt 2 Premium and Claims'!G17</f>
        <v>0</v>
      </c>
      <c r="H5" s="107">
        <f>'Pt 2 Premium and Claims'!H5+'Pt 2 Premium and Claims'!H6-'Pt 2 Premium and Claims'!H7-'Pt 2 Premium and Claims'!H13+'Pt 2 Premium and Claims'!H14+'Pt 2 Premium and Claims'!H15+'Pt 2 Premium and Claims'!H16+'Pt 2 Premium and Claims'!H17</f>
        <v>0</v>
      </c>
      <c r="I5" s="106">
        <f>'Pt 2 Premium and Claims'!I5+'Pt 2 Premium and Claims'!I6-'Pt 2 Premium and Claims'!I7-'Pt 2 Premium and Claims'!I13+'Pt 2 Premium and Claims'!I14+'Pt 2 Premium and Claims'!I15+'Pt 2 Premium and Claims'!I16+'Pt 2 Premium and Claims'!I17</f>
        <v>248859078.06</v>
      </c>
      <c r="J5" s="106">
        <f>'Pt 2 Premium and Claims'!J5+'Pt 2 Premium and Claims'!J6-'Pt 2 Premium and Claims'!J7-'Pt 2 Premium and Claims'!J13+'Pt 2 Premium and Claims'!J14+'Pt 2 Premium and Claims'!J15+'Pt 2 Premium and Claims'!J16+'Pt 2 Premium and Claims'!J17</f>
        <v>123862678.92999999</v>
      </c>
      <c r="K5" s="106">
        <f>'Pt 2 Premium and Claims'!K5+'Pt 2 Premium and Claims'!K6-'Pt 2 Premium and Claims'!K7-'Pt 2 Premium and Claims'!K13+'Pt 2 Premium and Claims'!K14+'Pt 2 Premium and Claims'!K15+'Pt 2 Premium and Claims'!K16+'Pt 2 Premium and Claims'!K17</f>
        <v>123862678.92999999</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6">
        <f>'Pt 2 Premium and Claims'!O5+'Pt 2 Premium and Claims'!O6-'Pt 2 Premium and Claims'!O7-'Pt 2 Premium and Claims'!O13+'Pt 2 Premium and Claims'!O14+'Pt 2 Premium and Claims'!O15+'Pt 2 Premium and Claims'!O16+'Pt 2 Premium and Claims'!O17</f>
        <v>87692541.929999992</v>
      </c>
      <c r="P5" s="106">
        <f>'Pt 2 Premium and Claims'!P5+'Pt 2 Premium and Claims'!P6-'Pt 2 Premium and Claims'!P7-'Pt 2 Premium and Claims'!P13+'Pt 2 Premium and Claims'!P14+'Pt 2 Premium and Claims'!P15+'Pt 2 Premium and Claims'!P16+'Pt 2 Premium and Claims'!P17</f>
        <v>22077664.119999997</v>
      </c>
      <c r="Q5" s="106">
        <f>'Pt 2 Premium and Claims'!Q5+'Pt 2 Premium and Claims'!Q6-'Pt 2 Premium and Claims'!Q7-'Pt 2 Premium and Claims'!Q13+'Pt 2 Premium and Claims'!Q14+'Pt 2 Premium and Claims'!Q15+'Pt 2 Premium and Claims'!Q16+'Pt 2 Premium and Claims'!Q17</f>
        <v>22077664.119999997</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f>-427336.1-564182.61-727257.85-965623.66-37653.37-97538.38-379378.31-505709.91-312650.72-412151.11</f>
        <v>-4429482.0200000005</v>
      </c>
      <c r="E8" s="290"/>
      <c r="F8" s="291"/>
      <c r="G8" s="291"/>
      <c r="H8" s="291"/>
      <c r="I8" s="294"/>
      <c r="J8" s="110">
        <f>-791560.87-42250.92-535855.16-33122.29</f>
        <v>-1402789.2400000002</v>
      </c>
      <c r="K8" s="290"/>
      <c r="L8" s="291"/>
      <c r="M8" s="291"/>
      <c r="N8" s="291"/>
      <c r="O8" s="294"/>
      <c r="P8" s="110">
        <f>-251310.87-48156.05</f>
        <v>-299466.92</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343544328</v>
      </c>
      <c r="E12" s="107">
        <f>'Pt 2 Premium and Claims'!E54</f>
        <v>343229227.24000001</v>
      </c>
      <c r="F12" s="107">
        <f>'Pt 2 Premium and Claims'!F54</f>
        <v>0</v>
      </c>
      <c r="G12" s="107">
        <f>'Pt 2 Premium and Claims'!G54</f>
        <v>0</v>
      </c>
      <c r="H12" s="107">
        <f>'Pt 2 Premium and Claims'!H54</f>
        <v>0</v>
      </c>
      <c r="I12" s="106">
        <f>'Pt 2 Premium and Claims'!I54</f>
        <v>343229227.24000001</v>
      </c>
      <c r="J12" s="106">
        <f>'Pt 2 Premium and Claims'!J54</f>
        <v>118162484</v>
      </c>
      <c r="K12" s="107">
        <f>'Pt 2 Premium and Claims'!K54</f>
        <v>115110111.15999998</v>
      </c>
      <c r="L12" s="107">
        <f>'Pt 2 Premium and Claims'!L54</f>
        <v>0</v>
      </c>
      <c r="M12" s="107">
        <f>'Pt 2 Premium and Claims'!M54</f>
        <v>0</v>
      </c>
      <c r="N12" s="107">
        <f>'Pt 2 Premium and Claims'!N54</f>
        <v>0</v>
      </c>
      <c r="O12" s="106">
        <f>'Pt 2 Premium and Claims'!O54</f>
        <v>115110111.15999998</v>
      </c>
      <c r="P12" s="106">
        <f>'Pt 2 Premium and Claims'!P54</f>
        <v>25041182</v>
      </c>
      <c r="Q12" s="107">
        <f>'Pt 2 Premium and Claims'!Q54</f>
        <v>24458491.669999998</v>
      </c>
      <c r="R12" s="107">
        <f>'Pt 2 Premium and Claims'!R54</f>
        <v>0</v>
      </c>
      <c r="S12" s="107">
        <f>'Pt 2 Premium and Claims'!S54</f>
        <v>0</v>
      </c>
      <c r="T12" s="107">
        <f>'Pt 2 Premium and Claims'!T54</f>
        <v>0</v>
      </c>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v>43057877.670000002</v>
      </c>
      <c r="E13" s="110">
        <v>43050608</v>
      </c>
      <c r="F13" s="111"/>
      <c r="G13" s="290"/>
      <c r="H13" s="291"/>
      <c r="I13" s="110">
        <v>43050608</v>
      </c>
      <c r="J13" s="110">
        <v>15815473.73</v>
      </c>
      <c r="K13" s="111">
        <v>15888073</v>
      </c>
      <c r="L13" s="111"/>
      <c r="M13" s="290"/>
      <c r="N13" s="291"/>
      <c r="O13" s="110">
        <v>15888073</v>
      </c>
      <c r="P13" s="110">
        <v>3546698.4499999997</v>
      </c>
      <c r="Q13" s="111">
        <v>3560383</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v>3080339.92</v>
      </c>
      <c r="E14" s="110">
        <v>3550108.51</v>
      </c>
      <c r="F14" s="111"/>
      <c r="G14" s="289"/>
      <c r="H14" s="292"/>
      <c r="I14" s="110">
        <v>3550108.51</v>
      </c>
      <c r="J14" s="110">
        <v>1181009.3700000001</v>
      </c>
      <c r="K14" s="111">
        <v>1526304.1400000001</v>
      </c>
      <c r="L14" s="111"/>
      <c r="M14" s="289"/>
      <c r="N14" s="292"/>
      <c r="O14" s="110">
        <v>1526304.1400000001</v>
      </c>
      <c r="P14" s="110">
        <v>294770.25</v>
      </c>
      <c r="Q14" s="111">
        <v>341304.85</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-1582635.6</v>
      </c>
      <c r="E16" s="290"/>
      <c r="F16" s="291"/>
      <c r="G16" s="292"/>
      <c r="H16" s="292"/>
      <c r="I16" s="294"/>
      <c r="J16" s="110">
        <v>-1169053.2000000002</v>
      </c>
      <c r="K16" s="290"/>
      <c r="L16" s="291"/>
      <c r="M16" s="292"/>
      <c r="N16" s="292"/>
      <c r="O16" s="294"/>
      <c r="P16" s="110">
        <v>-121224.6</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v>89049.06</v>
      </c>
      <c r="E26" s="111">
        <v>89049.06</v>
      </c>
      <c r="F26" s="111"/>
      <c r="G26" s="111"/>
      <c r="H26" s="111"/>
      <c r="I26" s="110">
        <v>89049.06</v>
      </c>
      <c r="J26" s="110">
        <v>50502.58</v>
      </c>
      <c r="K26" s="111">
        <v>50502.58</v>
      </c>
      <c r="L26" s="111"/>
      <c r="M26" s="111"/>
      <c r="N26" s="111"/>
      <c r="O26" s="110">
        <v>50502.58</v>
      </c>
      <c r="P26" s="110">
        <v>10725.47</v>
      </c>
      <c r="Q26" s="111">
        <v>10725.47</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1505501.68</v>
      </c>
      <c r="E27" s="111">
        <v>1505501.68</v>
      </c>
      <c r="F27" s="111"/>
      <c r="G27" s="111"/>
      <c r="H27" s="111"/>
      <c r="I27" s="110">
        <v>1505501.68</v>
      </c>
      <c r="J27" s="110">
        <v>813270.53</v>
      </c>
      <c r="K27" s="111">
        <v>813270.53</v>
      </c>
      <c r="L27" s="111"/>
      <c r="M27" s="111"/>
      <c r="N27" s="111"/>
      <c r="O27" s="110">
        <v>813270.53</v>
      </c>
      <c r="P27" s="110">
        <v>190071.58</v>
      </c>
      <c r="Q27" s="111">
        <v>190071.58</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v>1772427.3599999999</v>
      </c>
      <c r="E31" s="111">
        <v>1772427.3599999999</v>
      </c>
      <c r="F31" s="111"/>
      <c r="G31" s="111"/>
      <c r="H31" s="111"/>
      <c r="I31" s="110">
        <v>1772428.3599999999</v>
      </c>
      <c r="J31" s="110">
        <v>957463.39</v>
      </c>
      <c r="K31" s="111">
        <v>957463.39</v>
      </c>
      <c r="L31" s="111"/>
      <c r="M31" s="111"/>
      <c r="N31" s="111"/>
      <c r="O31" s="110">
        <v>957463.39</v>
      </c>
      <c r="P31" s="110">
        <v>223771.28</v>
      </c>
      <c r="Q31" s="111">
        <v>223771.28</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2254843.08</v>
      </c>
      <c r="E34" s="111">
        <v>2254843.08</v>
      </c>
      <c r="F34" s="111"/>
      <c r="G34" s="111"/>
      <c r="H34" s="111"/>
      <c r="I34" s="110">
        <v>2254843.08</v>
      </c>
      <c r="J34" s="110">
        <v>1278794.1400000001</v>
      </c>
      <c r="K34" s="111">
        <v>1278794.1400000001</v>
      </c>
      <c r="L34" s="111"/>
      <c r="M34" s="111"/>
      <c r="N34" s="111"/>
      <c r="O34" s="110">
        <v>1278794.1400000001</v>
      </c>
      <c r="P34" s="110">
        <v>271583.58</v>
      </c>
      <c r="Q34" s="111">
        <v>271583.58</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9001.17</v>
      </c>
      <c r="E37" s="119">
        <v>9001.17</v>
      </c>
      <c r="F37" s="119"/>
      <c r="G37" s="119"/>
      <c r="H37" s="119"/>
      <c r="I37" s="118">
        <v>9001.17</v>
      </c>
      <c r="J37" s="118">
        <v>4862.41</v>
      </c>
      <c r="K37" s="119">
        <v>4862.41</v>
      </c>
      <c r="L37" s="119"/>
      <c r="M37" s="119"/>
      <c r="N37" s="119"/>
      <c r="O37" s="118">
        <v>4862.41</v>
      </c>
      <c r="P37" s="118">
        <v>1136.4100000000001</v>
      </c>
      <c r="Q37" s="119">
        <v>1136.4100000000001</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1883098.7399999998</v>
      </c>
      <c r="E44" s="119">
        <v>1883098.7399999998</v>
      </c>
      <c r="F44" s="119"/>
      <c r="G44" s="119"/>
      <c r="H44" s="119"/>
      <c r="I44" s="118">
        <v>1883098.7399999998</v>
      </c>
      <c r="J44" s="118">
        <v>1071744.02</v>
      </c>
      <c r="K44" s="119">
        <v>1071744.02</v>
      </c>
      <c r="L44" s="119"/>
      <c r="M44" s="119"/>
      <c r="N44" s="119"/>
      <c r="O44" s="118">
        <v>1071744.02</v>
      </c>
      <c r="P44" s="118">
        <v>227754.9</v>
      </c>
      <c r="Q44" s="119">
        <v>227754.9</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v>4433783.72</v>
      </c>
      <c r="E45" s="111">
        <v>4433783.72</v>
      </c>
      <c r="F45" s="111"/>
      <c r="G45" s="111"/>
      <c r="H45" s="111"/>
      <c r="I45" s="110">
        <v>4433783.72</v>
      </c>
      <c r="J45" s="110">
        <v>2395125.2999999998</v>
      </c>
      <c r="K45" s="111">
        <v>2395125.2999999998</v>
      </c>
      <c r="L45" s="111"/>
      <c r="M45" s="111"/>
      <c r="N45" s="111"/>
      <c r="O45" s="110">
        <v>2395125.2999999998</v>
      </c>
      <c r="P45" s="110">
        <v>559770.99</v>
      </c>
      <c r="Q45" s="111">
        <v>559770.99</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v>260880.41</v>
      </c>
      <c r="E46" s="111">
        <v>260880.41</v>
      </c>
      <c r="F46" s="111"/>
      <c r="G46" s="111"/>
      <c r="H46" s="111"/>
      <c r="I46" s="110">
        <v>260880.41</v>
      </c>
      <c r="J46" s="110">
        <v>140927.33000000002</v>
      </c>
      <c r="K46" s="111">
        <v>140927.33000000002</v>
      </c>
      <c r="L46" s="111"/>
      <c r="M46" s="111"/>
      <c r="N46" s="111"/>
      <c r="O46" s="110">
        <v>140927.33000000002</v>
      </c>
      <c r="P46" s="110">
        <v>32936.49</v>
      </c>
      <c r="Q46" s="111">
        <v>32936.49</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v>9347665.1699999999</v>
      </c>
      <c r="E47" s="111">
        <v>9347665.1699999999</v>
      </c>
      <c r="F47" s="111"/>
      <c r="G47" s="111"/>
      <c r="H47" s="111"/>
      <c r="I47" s="110">
        <v>9347665.1699999999</v>
      </c>
      <c r="J47" s="110">
        <v>5049598.88</v>
      </c>
      <c r="K47" s="111">
        <v>5049598.88</v>
      </c>
      <c r="L47" s="111"/>
      <c r="M47" s="111"/>
      <c r="N47" s="111"/>
      <c r="O47" s="110">
        <v>5049598.88</v>
      </c>
      <c r="P47" s="110">
        <v>1180154.96</v>
      </c>
      <c r="Q47" s="111">
        <v>1180154.96</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4275.5599999999995</v>
      </c>
      <c r="E49" s="111">
        <v>4275.5599999999995</v>
      </c>
      <c r="F49" s="111"/>
      <c r="G49" s="111"/>
      <c r="H49" s="111"/>
      <c r="I49" s="110">
        <v>4275.5599999999995</v>
      </c>
      <c r="J49" s="110">
        <v>2309.65</v>
      </c>
      <c r="K49" s="111">
        <v>2309.65</v>
      </c>
      <c r="L49" s="111"/>
      <c r="M49" s="111"/>
      <c r="N49" s="111"/>
      <c r="O49" s="110">
        <v>2309.65</v>
      </c>
      <c r="P49" s="110">
        <v>539.79999999999995</v>
      </c>
      <c r="Q49" s="111">
        <v>539.79999999999995</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14250136.58</v>
      </c>
      <c r="E51" s="111">
        <v>14250136.58</v>
      </c>
      <c r="F51" s="111"/>
      <c r="G51" s="111"/>
      <c r="H51" s="111"/>
      <c r="I51" s="110">
        <v>14250136.58</v>
      </c>
      <c r="J51" s="110">
        <v>7697908.7699999996</v>
      </c>
      <c r="K51" s="111">
        <v>7697908.7699999996</v>
      </c>
      <c r="L51" s="111"/>
      <c r="M51" s="111"/>
      <c r="N51" s="111"/>
      <c r="O51" s="110">
        <v>7697908.7699999996</v>
      </c>
      <c r="P51" s="110">
        <v>1799098.38</v>
      </c>
      <c r="Q51" s="111">
        <v>1799098.38</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27215</v>
      </c>
      <c r="E56" s="123">
        <v>26227</v>
      </c>
      <c r="F56" s="123"/>
      <c r="G56" s="123"/>
      <c r="H56" s="123"/>
      <c r="I56" s="122">
        <v>26227</v>
      </c>
      <c r="J56" s="122">
        <v>23128</v>
      </c>
      <c r="K56" s="123">
        <v>23018</v>
      </c>
      <c r="L56" s="123"/>
      <c r="M56" s="123"/>
      <c r="N56" s="123"/>
      <c r="O56" s="122">
        <v>23018</v>
      </c>
      <c r="P56" s="122">
        <v>4700</v>
      </c>
      <c r="Q56" s="123">
        <v>4698</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v>43179</v>
      </c>
      <c r="E57" s="126">
        <v>41774</v>
      </c>
      <c r="F57" s="126"/>
      <c r="G57" s="126"/>
      <c r="H57" s="126"/>
      <c r="I57" s="125">
        <v>41774</v>
      </c>
      <c r="J57" s="125">
        <v>42288</v>
      </c>
      <c r="K57" s="126">
        <v>42124</v>
      </c>
      <c r="L57" s="126"/>
      <c r="M57" s="126"/>
      <c r="N57" s="126"/>
      <c r="O57" s="125">
        <v>42124</v>
      </c>
      <c r="P57" s="125">
        <v>8272</v>
      </c>
      <c r="Q57" s="126">
        <v>8272</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523818</v>
      </c>
      <c r="E59" s="126">
        <v>521634</v>
      </c>
      <c r="F59" s="126"/>
      <c r="G59" s="126"/>
      <c r="H59" s="126"/>
      <c r="I59" s="125">
        <v>521634</v>
      </c>
      <c r="J59" s="125">
        <v>297074</v>
      </c>
      <c r="K59" s="126">
        <v>296882</v>
      </c>
      <c r="L59" s="126"/>
      <c r="M59" s="126"/>
      <c r="N59" s="126"/>
      <c r="O59" s="125">
        <v>296882</v>
      </c>
      <c r="P59" s="125">
        <v>63091</v>
      </c>
      <c r="Q59" s="126">
        <v>63090</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f>D59/12</f>
        <v>43651.5</v>
      </c>
      <c r="E60" s="129">
        <f>E59/12</f>
        <v>43469.5</v>
      </c>
      <c r="F60" s="129"/>
      <c r="G60" s="129"/>
      <c r="H60" s="129"/>
      <c r="I60" s="128">
        <f t="shared" ref="I60:K60" si="0">I59/12</f>
        <v>43469.5</v>
      </c>
      <c r="J60" s="128">
        <f t="shared" si="0"/>
        <v>24756.166666666668</v>
      </c>
      <c r="K60" s="129">
        <f t="shared" si="0"/>
        <v>24740.166666666668</v>
      </c>
      <c r="L60" s="129"/>
      <c r="M60" s="129"/>
      <c r="N60" s="129"/>
      <c r="O60" s="128">
        <f t="shared" ref="O60:Q60" si="1">O59/12</f>
        <v>24740.166666666668</v>
      </c>
      <c r="P60" s="128">
        <f t="shared" si="1"/>
        <v>5257.583333333333</v>
      </c>
      <c r="Q60" s="129">
        <f t="shared" si="1"/>
        <v>5257.5</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9" stopIfTrue="1" operator="lessThan">
      <formula>0</formula>
    </cfRule>
  </conditionalFormatting>
  <conditionalFormatting sqref="AS53">
    <cfRule type="cellIs" dxfId="566" priority="38" stopIfTrue="1" operator="lessThan">
      <formula>0</formula>
    </cfRule>
  </conditionalFormatting>
  <conditionalFormatting sqref="G56:I57 G59:I59 D59 D56:D57 G7:I7 D6:D10 D13:D21 E13:F15">
    <cfRule type="cellIs" dxfId="565" priority="101" stopIfTrue="1" operator="lessThan">
      <formula>0</formula>
    </cfRule>
  </conditionalFormatting>
  <conditionalFormatting sqref="AI34:AI35">
    <cfRule type="cellIs" dxfId="564" priority="56" stopIfTrue="1" operator="lessThan">
      <formula>0</formula>
    </cfRule>
  </conditionalFormatting>
  <conditionalFormatting sqref="AQ56:AR57 AQ59:AR59 AN59 AN56:AN57">
    <cfRule type="cellIs" dxfId="563" priority="6" stopIfTrue="1" operator="lessThan">
      <formula>0</formula>
    </cfRule>
  </conditionalFormatting>
  <conditionalFormatting sqref="M7:O7 J6:J10">
    <cfRule type="cellIs" dxfId="562" priority="98" stopIfTrue="1" operator="lessThan">
      <formula>0</formula>
    </cfRule>
  </conditionalFormatting>
  <conditionalFormatting sqref="S7:T7 P6:P10">
    <cfRule type="cellIs" dxfId="561" priority="96" stopIfTrue="1" operator="lessThan">
      <formula>0</formula>
    </cfRule>
  </conditionalFormatting>
  <conditionalFormatting sqref="U6:U10">
    <cfRule type="cellIs" dxfId="560" priority="95" stopIfTrue="1" operator="lessThan">
      <formula>0</formula>
    </cfRule>
  </conditionalFormatting>
  <conditionalFormatting sqref="X6:X10">
    <cfRule type="cellIs" dxfId="559" priority="94" stopIfTrue="1" operator="lessThan">
      <formula>0</formula>
    </cfRule>
  </conditionalFormatting>
  <conditionalFormatting sqref="AA6:AA10">
    <cfRule type="cellIs" dxfId="558" priority="93" stopIfTrue="1" operator="lessThan">
      <formula>0</formula>
    </cfRule>
  </conditionalFormatting>
  <conditionalFormatting sqref="AD6:AD10">
    <cfRule type="cellIs" dxfId="557" priority="92" stopIfTrue="1" operator="lessThan">
      <formula>0</formula>
    </cfRule>
  </conditionalFormatting>
  <conditionalFormatting sqref="AI6:AI10">
    <cfRule type="cellIs" dxfId="556" priority="91" stopIfTrue="1" operator="lessThan">
      <formula>0</formula>
    </cfRule>
  </conditionalFormatting>
  <conditionalFormatting sqref="AT6:AT10">
    <cfRule type="cellIs" dxfId="555" priority="88" stopIfTrue="1" operator="lessThan">
      <formula>0</formula>
    </cfRule>
  </conditionalFormatting>
  <conditionalFormatting sqref="AS6:AS10">
    <cfRule type="cellIs" dxfId="554" priority="89" stopIfTrue="1" operator="lessThan">
      <formula>0</formula>
    </cfRule>
  </conditionalFormatting>
  <conditionalFormatting sqref="AU6:AU10">
    <cfRule type="cellIs" dxfId="553" priority="87" stopIfTrue="1" operator="lessThan">
      <formula>0</formula>
    </cfRule>
  </conditionalFormatting>
  <conditionalFormatting sqref="I13:I15">
    <cfRule type="cellIs" dxfId="552" priority="86" stopIfTrue="1" operator="lessThan">
      <formula>0</formula>
    </cfRule>
  </conditionalFormatting>
  <conditionalFormatting sqref="J13:L15 J17:J21">
    <cfRule type="cellIs" dxfId="551" priority="85" stopIfTrue="1" operator="lessThan">
      <formula>0</formula>
    </cfRule>
  </conditionalFormatting>
  <conditionalFormatting sqref="O13:O15">
    <cfRule type="cellIs" dxfId="550" priority="84" stopIfTrue="1" operator="lessThan">
      <formula>0</formula>
    </cfRule>
  </conditionalFormatting>
  <conditionalFormatting sqref="V13:V15 U13:U21">
    <cfRule type="cellIs" dxfId="549" priority="82" stopIfTrue="1" operator="lessThan">
      <formula>0</formula>
    </cfRule>
  </conditionalFormatting>
  <conditionalFormatting sqref="W13:W15">
    <cfRule type="cellIs" dxfId="548" priority="81" stopIfTrue="1" operator="lessThan">
      <formula>0</formula>
    </cfRule>
  </conditionalFormatting>
  <conditionalFormatting sqref="Y13:Y15 X13:X21">
    <cfRule type="cellIs" dxfId="547" priority="80" stopIfTrue="1" operator="lessThan">
      <formula>0</formula>
    </cfRule>
  </conditionalFormatting>
  <conditionalFormatting sqref="Z13:Z15">
    <cfRule type="cellIs" dxfId="546" priority="79" stopIfTrue="1" operator="lessThan">
      <formula>0</formula>
    </cfRule>
  </conditionalFormatting>
  <conditionalFormatting sqref="AB13:AB15 AA13:AA21">
    <cfRule type="cellIs" dxfId="545" priority="78" stopIfTrue="1" operator="lessThan">
      <formula>0</formula>
    </cfRule>
  </conditionalFormatting>
  <conditionalFormatting sqref="AC13:AC15">
    <cfRule type="cellIs" dxfId="544" priority="77" stopIfTrue="1" operator="lessThan">
      <formula>0</formula>
    </cfRule>
  </conditionalFormatting>
  <conditionalFormatting sqref="AD13:AD21">
    <cfRule type="cellIs" dxfId="543" priority="76" stopIfTrue="1" operator="lessThan">
      <formula>0</formula>
    </cfRule>
  </conditionalFormatting>
  <conditionalFormatting sqref="AI13:AI21">
    <cfRule type="cellIs" dxfId="542" priority="75" stopIfTrue="1" operator="lessThan">
      <formula>0</formula>
    </cfRule>
  </conditionalFormatting>
  <conditionalFormatting sqref="AT13:AT21">
    <cfRule type="cellIs" dxfId="541" priority="72" stopIfTrue="1" operator="lessThan">
      <formula>0</formula>
    </cfRule>
  </conditionalFormatting>
  <conditionalFormatting sqref="AS13:AS21">
    <cfRule type="cellIs" dxfId="540" priority="73" stopIfTrue="1" operator="lessThan">
      <formula>0</formula>
    </cfRule>
  </conditionalFormatting>
  <conditionalFormatting sqref="AU13:AU21">
    <cfRule type="cellIs" dxfId="539" priority="71" stopIfTrue="1" operator="lessThan">
      <formula>0</formula>
    </cfRule>
  </conditionalFormatting>
  <conditionalFormatting sqref="D53:F53">
    <cfRule type="cellIs" dxfId="538" priority="64" stopIfTrue="1" operator="lessThan">
      <formula>0</formula>
    </cfRule>
  </conditionalFormatting>
  <conditionalFormatting sqref="I53">
    <cfRule type="cellIs" dxfId="537" priority="63" stopIfTrue="1" operator="lessThan">
      <formula>0</formula>
    </cfRule>
  </conditionalFormatting>
  <conditionalFormatting sqref="J53:L53">
    <cfRule type="cellIs" dxfId="536" priority="62" stopIfTrue="1" operator="lessThan">
      <formula>0</formula>
    </cfRule>
  </conditionalFormatting>
  <conditionalFormatting sqref="O53">
    <cfRule type="cellIs" dxfId="535" priority="61" stopIfTrue="1" operator="lessThan">
      <formula>0</formula>
    </cfRule>
  </conditionalFormatting>
  <conditionalFormatting sqref="P53:R53">
    <cfRule type="cellIs" dxfId="534" priority="60" stopIfTrue="1" operator="lessThan">
      <formula>0</formula>
    </cfRule>
  </conditionalFormatting>
  <conditionalFormatting sqref="U53:AD53">
    <cfRule type="cellIs" dxfId="533" priority="59" stopIfTrue="1" operator="lessThan">
      <formula>0</formula>
    </cfRule>
  </conditionalFormatting>
  <conditionalFormatting sqref="AI25:AI28">
    <cfRule type="cellIs" dxfId="532" priority="58" stopIfTrue="1" operator="lessThan">
      <formula>0</formula>
    </cfRule>
  </conditionalFormatting>
  <conditionalFormatting sqref="AI30:AI32">
    <cfRule type="cellIs" dxfId="531" priority="57" stopIfTrue="1" operator="lessThan">
      <formula>0</formula>
    </cfRule>
  </conditionalFormatting>
  <conditionalFormatting sqref="AN25:AR28">
    <cfRule type="cellIs" dxfId="530" priority="55" stopIfTrue="1" operator="lessThan">
      <formula>0</formula>
    </cfRule>
  </conditionalFormatting>
  <conditionalFormatting sqref="AN30:AR32">
    <cfRule type="cellIs" dxfId="529" priority="54" stopIfTrue="1" operator="lessThan">
      <formula>0</formula>
    </cfRule>
  </conditionalFormatting>
  <conditionalFormatting sqref="AN34:AR35">
    <cfRule type="cellIs" dxfId="528" priority="53" stopIfTrue="1" operator="lessThan">
      <formula>0</formula>
    </cfRule>
  </conditionalFormatting>
  <conditionalFormatting sqref="AS25:AV26 AS27:AU27">
    <cfRule type="cellIs" dxfId="527" priority="52" stopIfTrue="1" operator="lessThan">
      <formula>0</formula>
    </cfRule>
  </conditionalFormatting>
  <conditionalFormatting sqref="AS28:AV28">
    <cfRule type="cellIs" dxfId="526" priority="51" stopIfTrue="1" operator="lessThan">
      <formula>0</formula>
    </cfRule>
  </conditionalFormatting>
  <conditionalFormatting sqref="AS30:AV32">
    <cfRule type="cellIs" dxfId="525" priority="50" stopIfTrue="1" operator="lessThan">
      <formula>0</formula>
    </cfRule>
  </conditionalFormatting>
  <conditionalFormatting sqref="AI44:AI47">
    <cfRule type="cellIs" dxfId="524" priority="49" stopIfTrue="1" operator="lessThan">
      <formula>0</formula>
    </cfRule>
  </conditionalFormatting>
  <conditionalFormatting sqref="AI49:AI52">
    <cfRule type="cellIs" dxfId="523" priority="48" stopIfTrue="1" operator="lessThan">
      <formula>0</formula>
    </cfRule>
  </conditionalFormatting>
  <conditionalFormatting sqref="AI53">
    <cfRule type="cellIs" dxfId="522" priority="47" stopIfTrue="1" operator="lessThan">
      <formula>0</formula>
    </cfRule>
  </conditionalFormatting>
  <conditionalFormatting sqref="AI37:AI42">
    <cfRule type="cellIs" dxfId="521" priority="46" stopIfTrue="1" operator="lessThan">
      <formula>0</formula>
    </cfRule>
  </conditionalFormatting>
  <conditionalFormatting sqref="AN37:AR42">
    <cfRule type="cellIs" dxfId="520" priority="45" stopIfTrue="1" operator="lessThan">
      <formula>0</formula>
    </cfRule>
  </conditionalFormatting>
  <conditionalFormatting sqref="AN44:AR47">
    <cfRule type="cellIs" dxfId="519" priority="44" stopIfTrue="1" operator="lessThan">
      <formula>0</formula>
    </cfRule>
  </conditionalFormatting>
  <conditionalFormatting sqref="AN49:AR52">
    <cfRule type="cellIs" dxfId="518" priority="43" stopIfTrue="1" operator="lessThan">
      <formula>0</formula>
    </cfRule>
  </conditionalFormatting>
  <conditionalFormatting sqref="AN53:AP53">
    <cfRule type="cellIs" dxfId="517" priority="42" stopIfTrue="1" operator="lessThan">
      <formula>0</formula>
    </cfRule>
  </conditionalFormatting>
  <conditionalFormatting sqref="AS37:AS42">
    <cfRule type="cellIs" dxfId="516" priority="41" stopIfTrue="1" operator="lessThan">
      <formula>0</formula>
    </cfRule>
  </conditionalFormatting>
  <conditionalFormatting sqref="AS44:AS47">
    <cfRule type="cellIs" dxfId="515" priority="40" stopIfTrue="1" operator="lessThan">
      <formula>0</formula>
    </cfRule>
  </conditionalFormatting>
  <conditionalFormatting sqref="AT37:AT42">
    <cfRule type="cellIs" dxfId="514" priority="37" stopIfTrue="1" operator="lessThan">
      <formula>0</formula>
    </cfRule>
  </conditionalFormatting>
  <conditionalFormatting sqref="AT44:AT47">
    <cfRule type="cellIs" dxfId="513" priority="36" stopIfTrue="1" operator="lessThan">
      <formula>0</formula>
    </cfRule>
  </conditionalFormatting>
  <conditionalFormatting sqref="AT49:AT52">
    <cfRule type="cellIs" dxfId="512" priority="35" stopIfTrue="1" operator="lessThan">
      <formula>0</formula>
    </cfRule>
  </conditionalFormatting>
  <conditionalFormatting sqref="AT53">
    <cfRule type="cellIs" dxfId="511" priority="34" stopIfTrue="1" operator="lessThan">
      <formula>0</formula>
    </cfRule>
  </conditionalFormatting>
  <conditionalFormatting sqref="AU37:AU42">
    <cfRule type="cellIs" dxfId="510" priority="33" stopIfTrue="1" operator="lessThan">
      <formula>0</formula>
    </cfRule>
  </conditionalFormatting>
  <conditionalFormatting sqref="AU44:AU47">
    <cfRule type="cellIs" dxfId="509" priority="32" stopIfTrue="1" operator="lessThan">
      <formula>0</formula>
    </cfRule>
  </conditionalFormatting>
  <conditionalFormatting sqref="AU49:AU52">
    <cfRule type="cellIs" dxfId="508" priority="31" stopIfTrue="1" operator="lessThan">
      <formula>0</formula>
    </cfRule>
  </conditionalFormatting>
  <conditionalFormatting sqref="AU53">
    <cfRule type="cellIs" dxfId="507" priority="30" stopIfTrue="1" operator="lessThan">
      <formula>0</formula>
    </cfRule>
  </conditionalFormatting>
  <conditionalFormatting sqref="AV37:AV42">
    <cfRule type="cellIs" dxfId="506" priority="29" stopIfTrue="1" operator="lessThan">
      <formula>0</formula>
    </cfRule>
  </conditionalFormatting>
  <conditionalFormatting sqref="AV44:AV47">
    <cfRule type="cellIs" dxfId="505" priority="28" stopIfTrue="1" operator="lessThan">
      <formula>0</formula>
    </cfRule>
  </conditionalFormatting>
  <conditionalFormatting sqref="AV49:AV52">
    <cfRule type="cellIs" dxfId="504" priority="27" stopIfTrue="1" operator="lessThan">
      <formula>0</formula>
    </cfRule>
  </conditionalFormatting>
  <conditionalFormatting sqref="AV53">
    <cfRule type="cellIs" dxfId="503" priority="26" stopIfTrue="1" operator="lessThan">
      <formula>0</formula>
    </cfRule>
  </conditionalFormatting>
  <conditionalFormatting sqref="AS35:AV35">
    <cfRule type="cellIs" dxfId="502" priority="25" stopIfTrue="1" operator="lessThan">
      <formula>0</formula>
    </cfRule>
  </conditionalFormatting>
  <conditionalFormatting sqref="AV34">
    <cfRule type="cellIs" dxfId="501" priority="24" stopIfTrue="1" operator="lessThan">
      <formula>0</formula>
    </cfRule>
  </conditionalFormatting>
  <conditionalFormatting sqref="AT34">
    <cfRule type="cellIs" dxfId="500" priority="23" stopIfTrue="1" operator="lessThan">
      <formula>0</formula>
    </cfRule>
  </conditionalFormatting>
  <conditionalFormatting sqref="AW61:AW62">
    <cfRule type="cellIs" dxfId="499" priority="22" stopIfTrue="1" operator="lessThan">
      <formula>0</formula>
    </cfRule>
  </conditionalFormatting>
  <conditionalFormatting sqref="M56:O57 J56:J57">
    <cfRule type="cellIs" dxfId="498" priority="21" stopIfTrue="1" operator="lessThan">
      <formula>0</formula>
    </cfRule>
  </conditionalFormatting>
  <conditionalFormatting sqref="M58:O59 J58:J59">
    <cfRule type="cellIs" dxfId="497" priority="19" stopIfTrue="1" operator="lessThan">
      <formula>0</formula>
    </cfRule>
  </conditionalFormatting>
  <conditionalFormatting sqref="S56:U57 P56:P57">
    <cfRule type="cellIs" dxfId="496" priority="17" stopIfTrue="1" operator="lessThan">
      <formula>0</formula>
    </cfRule>
  </conditionalFormatting>
  <conditionalFormatting sqref="V56:W57">
    <cfRule type="cellIs" dxfId="495" priority="16" stopIfTrue="1" operator="lessThan">
      <formula>0</formula>
    </cfRule>
  </conditionalFormatting>
  <conditionalFormatting sqref="S59:U59 P59">
    <cfRule type="cellIs" dxfId="494" priority="15" stopIfTrue="1" operator="lessThan">
      <formula>0</formula>
    </cfRule>
  </conditionalFormatting>
  <conditionalFormatting sqref="V59:W59">
    <cfRule type="cellIs" dxfId="493" priority="14" stopIfTrue="1" operator="lessThan">
      <formula>0</formula>
    </cfRule>
  </conditionalFormatting>
  <conditionalFormatting sqref="S58:T58 P58">
    <cfRule type="cellIs" dxfId="492" priority="13" stopIfTrue="1" operator="lessThan">
      <formula>0</formula>
    </cfRule>
  </conditionalFormatting>
  <conditionalFormatting sqref="X56:X57">
    <cfRule type="cellIs" dxfId="491" priority="12" stopIfTrue="1" operator="lessThan">
      <formula>0</formula>
    </cfRule>
  </conditionalFormatting>
  <conditionalFormatting sqref="X59">
    <cfRule type="cellIs" dxfId="490" priority="11" stopIfTrue="1" operator="lessThan">
      <formula>0</formula>
    </cfRule>
  </conditionalFormatting>
  <conditionalFormatting sqref="X58">
    <cfRule type="cellIs" dxfId="489" priority="10" stopIfTrue="1" operator="lessThan">
      <formula>0</formula>
    </cfRule>
  </conditionalFormatting>
  <conditionalFormatting sqref="AA56:AA57">
    <cfRule type="cellIs" dxfId="488" priority="9" stopIfTrue="1" operator="lessThan">
      <formula>0</formula>
    </cfRule>
  </conditionalFormatting>
  <conditionalFormatting sqref="AA59">
    <cfRule type="cellIs" dxfId="487" priority="8" stopIfTrue="1" operator="lessThan">
      <formula>0</formula>
    </cfRule>
  </conditionalFormatting>
  <conditionalFormatting sqref="AA58">
    <cfRule type="cellIs" dxfId="486" priority="7" stopIfTrue="1" operator="lessThan">
      <formula>0</formula>
    </cfRule>
  </conditionalFormatting>
  <conditionalFormatting sqref="P13:R15 P17:P21">
    <cfRule type="cellIs" dxfId="485" priority="83" stopIfTrue="1" operator="lessThan">
      <formula>0</formula>
    </cfRule>
  </conditionalFormatting>
  <conditionalFormatting sqref="AQ7:AR7 AO13:AP15 AN6:AN10 AN13:AN21">
    <cfRule type="cellIs" dxfId="484" priority="5" stopIfTrue="1" operator="lessThan">
      <formula>0</formula>
    </cfRule>
  </conditionalFormatting>
  <conditionalFormatting sqref="AU34">
    <cfRule type="cellIs" dxfId="483" priority="4" stopIfTrue="1" operator="lessThan">
      <formula>0</formula>
    </cfRule>
  </conditionalFormatting>
  <conditionalFormatting sqref="J16">
    <cfRule type="cellIs" dxfId="482" priority="2" stopIfTrue="1" operator="lessThan">
      <formula>0</formula>
    </cfRule>
  </conditionalFormatting>
  <conditionalFormatting sqref="P16">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6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172813283.81</v>
      </c>
      <c r="E5" s="119">
        <v>172813283.81</v>
      </c>
      <c r="F5" s="119"/>
      <c r="G5" s="131"/>
      <c r="H5" s="131"/>
      <c r="I5" s="118">
        <v>172813283.81</v>
      </c>
      <c r="J5" s="118">
        <v>94343566.099999994</v>
      </c>
      <c r="K5" s="119">
        <v>94343566.099999994</v>
      </c>
      <c r="L5" s="119"/>
      <c r="M5" s="119"/>
      <c r="N5" s="119"/>
      <c r="O5" s="118">
        <v>94343566.099999994</v>
      </c>
      <c r="P5" s="118">
        <v>22077664.119999997</v>
      </c>
      <c r="Q5" s="119">
        <v>22077664.119999997</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71718781.409999996</v>
      </c>
      <c r="E15" s="111">
        <v>71718781.409999996</v>
      </c>
      <c r="F15" s="111"/>
      <c r="G15" s="111"/>
      <c r="H15" s="111"/>
      <c r="I15" s="110">
        <v>71718781.409999996</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4327012.84</v>
      </c>
      <c r="E16" s="111">
        <v>4327013.84</v>
      </c>
      <c r="F16" s="111"/>
      <c r="G16" s="111"/>
      <c r="H16" s="111"/>
      <c r="I16" s="110">
        <v>4327012.84</v>
      </c>
      <c r="J16" s="110">
        <v>-6651024.1699999999</v>
      </c>
      <c r="K16" s="111">
        <v>-6651024.1699999999</v>
      </c>
      <c r="L16" s="111"/>
      <c r="M16" s="111"/>
      <c r="N16" s="111"/>
      <c r="O16" s="110">
        <v>-6651024.1699999999</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88210728</v>
      </c>
      <c r="E17" s="270">
        <v>88210728</v>
      </c>
      <c r="F17" s="270"/>
      <c r="G17" s="270"/>
      <c r="H17" s="111"/>
      <c r="I17" s="294"/>
      <c r="J17" s="110">
        <v>36170137</v>
      </c>
      <c r="K17" s="270">
        <v>36170137</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486</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287316523</v>
      </c>
      <c r="E23" s="289"/>
      <c r="F23" s="289"/>
      <c r="G23" s="289"/>
      <c r="H23" s="289"/>
      <c r="I23" s="293"/>
      <c r="J23" s="110">
        <v>90377730</v>
      </c>
      <c r="K23" s="289"/>
      <c r="L23" s="289"/>
      <c r="M23" s="289"/>
      <c r="N23" s="289"/>
      <c r="O23" s="293"/>
      <c r="P23" s="110">
        <v>18577087</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v>335759539.49000001</v>
      </c>
      <c r="F24" s="111"/>
      <c r="G24" s="111"/>
      <c r="H24" s="111"/>
      <c r="I24" s="110">
        <v>335759539.49000001</v>
      </c>
      <c r="J24" s="294"/>
      <c r="K24" s="111">
        <v>112597024.85999998</v>
      </c>
      <c r="L24" s="111"/>
      <c r="M24" s="111"/>
      <c r="N24" s="111"/>
      <c r="O24" s="110">
        <v>112597024.85999998</v>
      </c>
      <c r="P24" s="294"/>
      <c r="Q24" s="111">
        <v>23924147.149999999</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56227805</v>
      </c>
      <c r="E26" s="289"/>
      <c r="F26" s="289"/>
      <c r="G26" s="289"/>
      <c r="H26" s="289"/>
      <c r="I26" s="293"/>
      <c r="J26" s="110">
        <v>27784754</v>
      </c>
      <c r="K26" s="289"/>
      <c r="L26" s="289"/>
      <c r="M26" s="289"/>
      <c r="N26" s="289"/>
      <c r="O26" s="293"/>
      <c r="P26" s="110">
        <v>6464095</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v>7469687.75</v>
      </c>
      <c r="F27" s="111"/>
      <c r="G27" s="111"/>
      <c r="H27" s="111"/>
      <c r="I27" s="110">
        <v>7469687.75</v>
      </c>
      <c r="J27" s="294"/>
      <c r="K27" s="111">
        <v>2513086.2999999998</v>
      </c>
      <c r="L27" s="111"/>
      <c r="M27" s="111"/>
      <c r="N27" s="111"/>
      <c r="O27" s="110">
        <v>2513086.2999999998</v>
      </c>
      <c r="P27" s="294"/>
      <c r="Q27" s="111">
        <v>534344.52</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343544328</v>
      </c>
      <c r="E54" s="116">
        <f>E24+E27+E31+E35-E36+E39+E42+E45+E46-E49+E51+E52+E53</f>
        <v>343229227.24000001</v>
      </c>
      <c r="F54" s="116"/>
      <c r="G54" s="116"/>
      <c r="H54" s="116"/>
      <c r="I54" s="115">
        <f>I24+I27+I31+I35-I36+I39+I42+I45+I46-I49+I51+I52+I53</f>
        <v>343229227.24000001</v>
      </c>
      <c r="J54" s="115">
        <f>J23+J26-J28+J30-J32+J34-J36+J38+J41-J43+J45+J46-J47-J49+J50+J51+J52+J53</f>
        <v>118162484</v>
      </c>
      <c r="K54" s="116">
        <f>K24+K27+K31+K35-K36+K39+K42+K45+K46-K49+K51+K52+K53</f>
        <v>115110111.15999998</v>
      </c>
      <c r="L54" s="116"/>
      <c r="M54" s="116"/>
      <c r="N54" s="116"/>
      <c r="O54" s="115">
        <f>O24+O27+O31+O35-O36+O39+O42+O45+O46-O49+O51+O52+O53</f>
        <v>115110111.15999998</v>
      </c>
      <c r="P54" s="115">
        <f>P23+P26-P28+P30-P32+P34-P36+P38+P41-P43+P45+P46-P47-P49+P50+P51+P52+P53</f>
        <v>25041182</v>
      </c>
      <c r="Q54" s="116">
        <f>Q24+Q27+Q31+Q35-Q36+Q39+Q42+Q45+Q46-Q49+Q51+Q52+Q53</f>
        <v>24458491.669999998</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485</v>
      </c>
      <c r="C58" s="186"/>
      <c r="D58" s="187">
        <v>14454649</v>
      </c>
      <c r="E58" s="188">
        <v>14454649</v>
      </c>
      <c r="F58" s="188"/>
      <c r="G58" s="188"/>
      <c r="H58" s="188"/>
      <c r="I58" s="187">
        <v>14454649</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51" sqref="C5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f>'Pt 1 Summary of Data'!E12+'Pt 1 Summary of Data'!E22</f>
        <v>343229227.24000001</v>
      </c>
      <c r="F6" s="116">
        <f>C6+D6+E6</f>
        <v>343229227.24000001</v>
      </c>
      <c r="G6" s="117">
        <f>'Pt 1 Summary of Data'!I12+'Pt 1 Summary of Data'!I22</f>
        <v>343229227.24000001</v>
      </c>
      <c r="H6" s="110"/>
      <c r="I6" s="111"/>
      <c r="J6" s="116">
        <f>'Pt 1 Summary of Data'!J12+'Pt 1 Summary of Data'!J22</f>
        <v>118162484</v>
      </c>
      <c r="K6" s="116">
        <f>H6+I6+J6</f>
        <v>118162484</v>
      </c>
      <c r="L6" s="117">
        <f>'Pt 1 Summary of Data'!O12+'Pt 1 Summary of Data'!O22</f>
        <v>115110111.15999998</v>
      </c>
      <c r="M6" s="110"/>
      <c r="N6" s="111"/>
      <c r="O6" s="116">
        <f>'Pt 1 Summary of Data'!Q12+'Pt 1 Summary of Data'!Q22</f>
        <v>24458491.669999998</v>
      </c>
      <c r="P6" s="116">
        <f>M6+N6+O6</f>
        <v>24458491.669999998</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f>'Pt 1 Summary of Data'!E37+'Pt 1 Summary of Data'!E38+'Pt 1 Summary of Data'!E39+'Pt 1 Summary of Data'!E40+'Pt 1 Summary of Data'!E41+'Pt 1 Summary of Data'!E42</f>
        <v>9001.17</v>
      </c>
      <c r="F7" s="116">
        <f>C7+D7+E7</f>
        <v>9001.17</v>
      </c>
      <c r="G7" s="117">
        <f>'Pt 1 Summary of Data'!I37+'Pt 1 Summary of Data'!I38+'Pt 1 Summary of Data'!I39+'Pt 1 Summary of Data'!I40+'Pt 1 Summary of Data'!I41+'Pt 1 Summary of Data'!I42</f>
        <v>9001.17</v>
      </c>
      <c r="H7" s="110"/>
      <c r="I7" s="111"/>
      <c r="J7" s="116">
        <f>'Pt 1 Summary of Data'!J37+'Pt 1 Summary of Data'!J38+'Pt 1 Summary of Data'!J39+'Pt 1 Summary of Data'!J40+'Pt 1 Summary of Data'!J41+'Pt 1 Summary of Data'!J42</f>
        <v>4862.41</v>
      </c>
      <c r="K7" s="116">
        <f>H7+I7+J7</f>
        <v>4862.41</v>
      </c>
      <c r="L7" s="117">
        <f>'Pt 1 Summary of Data'!O37+'Pt 1 Summary of Data'!O38+'Pt 1 Summary of Data'!O39+'Pt 1 Summary of Data'!O40+'Pt 1 Summary of Data'!O41+'Pt 1 Summary of Data'!O42</f>
        <v>4862.41</v>
      </c>
      <c r="M7" s="110"/>
      <c r="N7" s="111"/>
      <c r="O7" s="116">
        <f>'Pt 1 Summary of Data'!Q37+'Pt 1 Summary of Data'!Q38+'Pt 1 Summary of Data'!Q39+'Pt 1 Summary of Data'!Q40+'Pt 1 Summary of Data'!Q41+'Pt 1 Summary of Data'!Q42</f>
        <v>1136.4100000000001</v>
      </c>
      <c r="P7" s="116">
        <f>M7+N7+O7</f>
        <v>1136.4100000000001</v>
      </c>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484</v>
      </c>
      <c r="C8" s="294"/>
      <c r="D8" s="290"/>
      <c r="E8" s="270">
        <v>14454649</v>
      </c>
      <c r="F8" s="270">
        <v>14454649</v>
      </c>
      <c r="G8" s="271">
        <v>14454649</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f>
        <v>71718781.409999996</v>
      </c>
      <c r="F9" s="116">
        <f>E9</f>
        <v>71718781.409999996</v>
      </c>
      <c r="G9" s="117">
        <f>'Pt 2 Premium and Claims'!I15</f>
        <v>71718781.409999996</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f>
        <v>4327013.84</v>
      </c>
      <c r="F10" s="116">
        <f>E10</f>
        <v>4327013.84</v>
      </c>
      <c r="G10" s="117">
        <f>'Pt 2 Premium and Claims'!I16</f>
        <v>4327012.84</v>
      </c>
      <c r="H10" s="293"/>
      <c r="I10" s="289"/>
      <c r="J10" s="116">
        <f>'Pt 2 Premium and Claims'!J16</f>
        <v>-6651024.1699999999</v>
      </c>
      <c r="K10" s="116">
        <f>J10</f>
        <v>-6651024.1699999999</v>
      </c>
      <c r="L10" s="117">
        <f>'Pt 2 Premium and Claims'!O16</f>
        <v>-6651024.1699999999</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479</v>
      </c>
      <c r="C11" s="293"/>
      <c r="D11" s="289"/>
      <c r="E11" s="116">
        <f>'Pt 2 Premium and Claims'!D17</f>
        <v>88210728</v>
      </c>
      <c r="F11" s="116">
        <f>E11</f>
        <v>88210728</v>
      </c>
      <c r="G11" s="315"/>
      <c r="H11" s="293"/>
      <c r="I11" s="289"/>
      <c r="J11" s="116">
        <f>'Pt 2 Premium and Claims'!K17</f>
        <v>36170137</v>
      </c>
      <c r="K11" s="116">
        <f>J11</f>
        <v>36170137</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f>E6+E7-E8-E9-E10-E11</f>
        <v>164527056.16000003</v>
      </c>
      <c r="F12" s="116">
        <f>F6+F7-F8-F9-F10-F11</f>
        <v>164527056.16000003</v>
      </c>
      <c r="G12" s="312"/>
      <c r="H12" s="115"/>
      <c r="I12" s="116"/>
      <c r="J12" s="116">
        <f t="shared" ref="J12:K12" si="0">J6+J7-J8-J9-J10-J11</f>
        <v>88648233.579999998</v>
      </c>
      <c r="K12" s="116">
        <f t="shared" si="0"/>
        <v>88648233.579999998</v>
      </c>
      <c r="L12" s="312"/>
      <c r="M12" s="115"/>
      <c r="N12" s="116"/>
      <c r="O12" s="116">
        <f>O6+O7</f>
        <v>24459628.079999998</v>
      </c>
      <c r="P12" s="116">
        <f>P6+P7</f>
        <v>24459628.079999998</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487</v>
      </c>
      <c r="C15" s="118"/>
      <c r="D15" s="119"/>
      <c r="E15" s="107">
        <f>'Pt 1 Summary of Data'!E5+'Pt 1 Summary of Data'!E6+'Pt 1 Summary of Data'!E7+'Pt 1 Summary of Data'!G5+'Pt 1 Summary of Data'!G6+'Pt 1 Summary of Data'!G7-'Pt 1 Summary of Data'!H5-'Pt 1 Summary of Data'!H6-'Pt 1 Summary of Data'!H7-E9-E10-E11</f>
        <v>172813283.81</v>
      </c>
      <c r="F15" s="107">
        <f>C15+D15+E15</f>
        <v>172813283.81</v>
      </c>
      <c r="G15" s="108">
        <f>'Pt 1 Summary of Data'!I5+'Pt 1 Summary of Data'!I6+'Pt 1 Summary of Data'!I7-'Pt 3 MLR and Rebate Calculation'!G9-'Pt 3 MLR and Rebate Calculation'!G10</f>
        <v>172813283.81</v>
      </c>
      <c r="H15" s="118"/>
      <c r="I15" s="119"/>
      <c r="J15" s="107">
        <f>'Pt 1 Summary of Data'!J5+'Pt 1 Summary of Data'!J6+'Pt 1 Summary of Data'!J7+'Pt 1 Summary of Data'!L5+'Pt 1 Summary of Data'!L6+'Pt 1 Summary of Data'!L7-'Pt 1 Summary of Data'!M5-'Pt 1 Summary of Data'!M6-'Pt 1 Summary of Data'!M7-J9-J10-J11</f>
        <v>94343566.099999994</v>
      </c>
      <c r="K15" s="107">
        <f>H15+I15+J15</f>
        <v>94343566.099999994</v>
      </c>
      <c r="L15" s="108">
        <f>'Pt 1 Summary of Data'!O5+'Pt 1 Summary of Data'!O6+'Pt 1 Summary of Data'!O7-'Pt 3 MLR and Rebate Calculation'!L10</f>
        <v>94343566.099999994</v>
      </c>
      <c r="M15" s="118"/>
      <c r="N15" s="119"/>
      <c r="O15" s="107">
        <f>'Pt 1 Summary of Data'!Q5+'Pt 1 Summary of Data'!Q6+'Pt 1 Summary of Data'!Q7</f>
        <v>22077664.119999997</v>
      </c>
      <c r="P15" s="107">
        <f>M15+N15+O15</f>
        <v>22077664.119999997</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f>'Pt 1 Summary of Data'!E25+'Pt 1 Summary of Data'!E26+'Pt 1 Summary of Data'!E27+'Pt 1 Summary of Data'!E28+'Pt 1 Summary of Data'!E30+'Pt 1 Summary of Data'!E31+'Pt 1 Summary of Data'!E32+'Pt 1 Summary of Data'!E34+'Pt 1 Summary of Data'!E35</f>
        <v>5621821.1799999997</v>
      </c>
      <c r="F16" s="116">
        <f>C16+D16+E16</f>
        <v>5621821.1799999997</v>
      </c>
      <c r="G16" s="117">
        <f>'Pt 1 Summary of Data'!I25+'Pt 1 Summary of Data'!I26+'Pt 1 Summary of Data'!I27+'Pt 1 Summary of Data'!I28+'Pt 1 Summary of Data'!I30+'Pt 1 Summary of Data'!I31+'Pt 1 Summary of Data'!I32+'Pt 1 Summary of Data'!I34+'Pt 1 Summary of Data'!I35</f>
        <v>5621822.1799999997</v>
      </c>
      <c r="H16" s="110"/>
      <c r="I16" s="111"/>
      <c r="J16" s="116">
        <f>'Pt 1 Summary of Data'!J25+'Pt 1 Summary of Data'!J26+'Pt 1 Summary of Data'!J27+'Pt 1 Summary of Data'!J28+'Pt 1 Summary of Data'!J30+'Pt 1 Summary of Data'!J31+'Pt 1 Summary of Data'!J32+'Pt 1 Summary of Data'!J34+'Pt 1 Summary of Data'!J35</f>
        <v>3100030.64</v>
      </c>
      <c r="K16" s="116">
        <f>H16+I16+J16</f>
        <v>3100030.64</v>
      </c>
      <c r="L16" s="117">
        <f>'Pt 1 Summary of Data'!O25+'Pt 1 Summary of Data'!O26+'Pt 1 Summary of Data'!O27+'Pt 1 Summary of Data'!O28+'Pt 1 Summary of Data'!O30+'Pt 1 Summary of Data'!O31+'Pt 1 Summary of Data'!O32+'Pt 1 Summary of Data'!O34+'Pt 1 Summary of Data'!O35</f>
        <v>3100030.64</v>
      </c>
      <c r="M16" s="110"/>
      <c r="N16" s="111"/>
      <c r="O16" s="116">
        <f>'Pt 1 Summary of Data'!Q25+'Pt 1 Summary of Data'!Q26+'Pt 1 Summary of Data'!Q27+'Pt 1 Summary of Data'!Q28+'Pt 1 Summary of Data'!Q30+'Pt 1 Summary of Data'!Q31+'Pt 1 Summary of Data'!Q32+'Pt 1 Summary of Data'!Q34+'Pt 1 Summary of Data'!Q35</f>
        <v>696151.90999999992</v>
      </c>
      <c r="P16" s="116">
        <f t="shared" ref="P16:P17" si="1">M16+N16+O16</f>
        <v>696151.90999999992</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f>E15-E16</f>
        <v>167191462.63</v>
      </c>
      <c r="F17" s="116">
        <f>F15-F16</f>
        <v>167191462.63</v>
      </c>
      <c r="G17" s="315"/>
      <c r="H17" s="115"/>
      <c r="I17" s="116"/>
      <c r="J17" s="116">
        <f>J15-J16</f>
        <v>91243535.459999993</v>
      </c>
      <c r="K17" s="116">
        <f>K15-K16</f>
        <v>91243535.459999993</v>
      </c>
      <c r="L17" s="315"/>
      <c r="M17" s="115"/>
      <c r="N17" s="116"/>
      <c r="O17" s="116">
        <f>O15-O16</f>
        <v>21381512.209999997</v>
      </c>
      <c r="P17" s="116">
        <f t="shared" si="1"/>
        <v>21381512.209999997</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G6+G7-G8-G9-G10</f>
        <v>252737785.16000003</v>
      </c>
      <c r="H19" s="348"/>
      <c r="I19" s="347"/>
      <c r="J19" s="347"/>
      <c r="K19" s="347"/>
      <c r="L19" s="108">
        <f>L6+L7-L8-L9-L10</f>
        <v>121765997.73999998</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489</v>
      </c>
      <c r="C20" s="293"/>
      <c r="D20" s="289"/>
      <c r="E20" s="289"/>
      <c r="F20" s="289"/>
      <c r="G20" s="117">
        <f>'Pt 1 Summary of Data'!E44+'Pt 1 Summary of Data'!E45+'Pt 1 Summary of Data'!E46+'Pt 1 Summary of Data'!E47+'Pt 1 Summary of Data'!E49+'Pt 1 Summary of Data'!E50+'Pt 1 Summary of Data'!E51</f>
        <v>30179840.18</v>
      </c>
      <c r="H20" s="293"/>
      <c r="I20" s="289"/>
      <c r="J20" s="289"/>
      <c r="K20" s="289"/>
      <c r="L20" s="117">
        <f>'Pt 1 Summary of Data'!J44+'Pt 1 Summary of Data'!J45+'Pt 1 Summary of Data'!J46+'Pt 1 Summary of Data'!J47+'Pt 1 Summary of Data'!J49+'Pt 1 Summary of Data'!J50+'Pt 1 Summary of Data'!J51</f>
        <v>16357613.949999999</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G19/(G15-G16)</f>
        <v>1.511666820159254</v>
      </c>
      <c r="H21" s="293"/>
      <c r="I21" s="289"/>
      <c r="J21" s="289"/>
      <c r="K21" s="289"/>
      <c r="L21" s="256">
        <f>L19/(L15-L16)</f>
        <v>1.3345164358891008</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482</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MAX(G24,G25)</f>
        <v>5015743.8488999996</v>
      </c>
      <c r="H23" s="293"/>
      <c r="I23" s="289"/>
      <c r="J23" s="289"/>
      <c r="K23" s="289"/>
      <c r="L23" s="117">
        <f>MAX(L24,L25)</f>
        <v>2737306.0637999997</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490</v>
      </c>
      <c r="C24" s="293"/>
      <c r="D24" s="289"/>
      <c r="E24" s="289"/>
      <c r="F24" s="289"/>
      <c r="G24" s="117">
        <f>G15-G19-G16-G20</f>
        <v>-115726163.71000004</v>
      </c>
      <c r="H24" s="293"/>
      <c r="I24" s="289"/>
      <c r="J24" s="289"/>
      <c r="K24" s="289"/>
      <c r="L24" s="117">
        <f>L15-L19-L16-L20</f>
        <v>-46880076.229999989</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491</v>
      </c>
      <c r="C25" s="293"/>
      <c r="D25" s="289"/>
      <c r="E25" s="289"/>
      <c r="F25" s="289"/>
      <c r="G25" s="1">
        <f>(0.03+G22)*(G15-G16)</f>
        <v>5015743.8488999996</v>
      </c>
      <c r="H25" s="293"/>
      <c r="I25" s="289"/>
      <c r="J25" s="289"/>
      <c r="K25" s="289"/>
      <c r="L25" s="117">
        <f>(0.03+L22)*(L15-L16)</f>
        <v>2737306.0637999997</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MIN(G27,G28)</f>
        <v>35195584.028899997</v>
      </c>
      <c r="H26" s="293"/>
      <c r="I26" s="289"/>
      <c r="J26" s="289"/>
      <c r="K26" s="289"/>
      <c r="L26" s="117">
        <f>MIN(L27,L28)</f>
        <v>19094920.013799999</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473</v>
      </c>
      <c r="C27" s="293"/>
      <c r="D27" s="289"/>
      <c r="E27" s="289"/>
      <c r="F27" s="289"/>
      <c r="G27" s="117">
        <f>G20+G23</f>
        <v>35195584.028899997</v>
      </c>
      <c r="H27" s="293"/>
      <c r="I27" s="289"/>
      <c r="J27" s="289"/>
      <c r="K27" s="289"/>
      <c r="L27" s="117">
        <f>L20+L23</f>
        <v>19094920.013799999</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474</v>
      </c>
      <c r="C28" s="293"/>
      <c r="D28" s="289"/>
      <c r="E28" s="289"/>
      <c r="F28" s="289"/>
      <c r="G28" s="1">
        <f>(0.2+G22)*(G15-G16)+G16</f>
        <v>39060114.505999997</v>
      </c>
      <c r="H28" s="293"/>
      <c r="I28" s="289"/>
      <c r="J28" s="289"/>
      <c r="K28" s="289"/>
      <c r="L28" s="117">
        <f>(0.2+L22)*(L15-L16)+L16</f>
        <v>21348737.732000001</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478</v>
      </c>
      <c r="C29" s="293"/>
      <c r="D29" s="289"/>
      <c r="E29" s="289"/>
      <c r="F29" s="289"/>
      <c r="G29" s="117">
        <f>G28</f>
        <v>39060114.505999997</v>
      </c>
      <c r="H29" s="293"/>
      <c r="I29" s="289"/>
      <c r="J29" s="289"/>
      <c r="K29" s="289"/>
      <c r="L29" s="117">
        <f>0.2*(L15-L16)+L16</f>
        <v>21348737.732000001</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G15-G26</f>
        <v>137617699.7811</v>
      </c>
      <c r="H30" s="293"/>
      <c r="I30" s="289"/>
      <c r="J30" s="289"/>
      <c r="K30" s="289"/>
      <c r="L30" s="117">
        <f>L15-L26</f>
        <v>75248646.086199999</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475</v>
      </c>
      <c r="C31" s="293"/>
      <c r="D31" s="289"/>
      <c r="E31" s="289"/>
      <c r="F31" s="289"/>
      <c r="G31" s="117">
        <f>MIN(G27,G29)</f>
        <v>35195584.028899997</v>
      </c>
      <c r="H31" s="293"/>
      <c r="I31" s="289"/>
      <c r="J31" s="289"/>
      <c r="K31" s="289"/>
      <c r="L31" s="117">
        <f>MIN(L27,L29)</f>
        <v>19094920.013799999</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476</v>
      </c>
      <c r="C32" s="293"/>
      <c r="D32" s="289"/>
      <c r="E32" s="289"/>
      <c r="F32" s="289"/>
      <c r="G32" s="117">
        <f>G15-G31</f>
        <v>137617699.7811</v>
      </c>
      <c r="H32" s="293"/>
      <c r="I32" s="289"/>
      <c r="J32" s="289"/>
      <c r="K32" s="289"/>
      <c r="L32" s="117">
        <f>L15-L31</f>
        <v>75248646.086199999</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477</v>
      </c>
      <c r="C33" s="355"/>
      <c r="D33" s="356"/>
      <c r="E33" s="356"/>
      <c r="F33" s="356"/>
      <c r="G33" s="376">
        <f>G19/G32</f>
        <v>1.8365209239946203</v>
      </c>
      <c r="H33" s="355"/>
      <c r="I33" s="356"/>
      <c r="J33" s="356"/>
      <c r="K33" s="356"/>
      <c r="L33" s="376">
        <f>L19/L32</f>
        <v>1.6181819085557061</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480</v>
      </c>
      <c r="C34" s="293"/>
      <c r="D34" s="289"/>
      <c r="E34" s="289"/>
      <c r="F34" s="289"/>
      <c r="G34" s="117">
        <f>51080793.044+37129935.13</f>
        <v>88210728.173999995</v>
      </c>
      <c r="H34" s="293"/>
      <c r="I34" s="289"/>
      <c r="J34" s="289"/>
      <c r="K34" s="289"/>
      <c r="L34" s="117">
        <f>21595683.247+14574453.59</f>
        <v>36170136.836999997</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481</v>
      </c>
      <c r="C35" s="293"/>
      <c r="D35" s="289"/>
      <c r="E35" s="289"/>
      <c r="F35" s="289"/>
      <c r="G35" s="117">
        <f>51080793.044+37129935.13</f>
        <v>88210728.173999995</v>
      </c>
      <c r="H35" s="293"/>
      <c r="I35" s="289"/>
      <c r="J35" s="289"/>
      <c r="K35" s="289"/>
      <c r="L35" s="117">
        <f>21595683.247+14574453.59</f>
        <v>36170136.836999997</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f>'Pt 1 Summary of Data'!E60</f>
        <v>43469.5</v>
      </c>
      <c r="F37" s="257">
        <f>C37+D37+E37</f>
        <v>43469.5</v>
      </c>
      <c r="G37" s="313"/>
      <c r="H37" s="122"/>
      <c r="I37" s="123"/>
      <c r="J37" s="257">
        <f>'Pt 1 Summary of Data'!J60</f>
        <v>24756.166666666668</v>
      </c>
      <c r="K37" s="257">
        <f>H37+I37+J37</f>
        <v>24756.166666666668</v>
      </c>
      <c r="L37" s="313"/>
      <c r="M37" s="122"/>
      <c r="N37" s="123"/>
      <c r="O37" s="257">
        <f>'Pt 1 Summary of Data'!Q60</f>
        <v>5257.5</v>
      </c>
      <c r="P37" s="257">
        <f>M37+N37+O37</f>
        <v>5257.5</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f>0.016-(F37-25000)/25000*(0.016-0.012)</f>
        <v>1.304488E-2</v>
      </c>
      <c r="G38" s="354"/>
      <c r="H38" s="352"/>
      <c r="I38" s="353"/>
      <c r="J38" s="353"/>
      <c r="K38" s="268">
        <f>0.016-(K37-25000)/25000*(0.016-0.012)</f>
        <v>1.6039013333333334E-2</v>
      </c>
      <c r="L38" s="354"/>
      <c r="M38" s="352"/>
      <c r="N38" s="353"/>
      <c r="O38" s="353"/>
      <c r="P38" s="268">
        <f>0.052-(P37-2500)/2500*(0.052-0.037)</f>
        <v>3.5455E-2</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f>F38*F40</f>
        <v>1.304488E-2</v>
      </c>
      <c r="G41" s="312"/>
      <c r="H41" s="293"/>
      <c r="I41" s="289"/>
      <c r="J41" s="289"/>
      <c r="K41" s="261">
        <f>K38*K40</f>
        <v>1.6039013333333334E-2</v>
      </c>
      <c r="L41" s="312"/>
      <c r="M41" s="293"/>
      <c r="N41" s="289"/>
      <c r="O41" s="289"/>
      <c r="P41" s="261">
        <f>P38*P40</f>
        <v>3.5455E-2</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492</v>
      </c>
      <c r="C44" s="263"/>
      <c r="D44" s="261"/>
      <c r="E44" s="261">
        <f>(E6+E7-E8-E9-E10-E11)/(E15-E16)</f>
        <v>0.98406374088671988</v>
      </c>
      <c r="F44" s="261">
        <f>(F6+F7-F8-F9-F10-F11)/(F15-F16)</f>
        <v>0.98406374088671988</v>
      </c>
      <c r="G44" s="312"/>
      <c r="H44" s="263"/>
      <c r="I44" s="261"/>
      <c r="J44" s="261">
        <f>(J6+J7-J8-J9-J10-J11)/(J15-J16)</f>
        <v>0.97155632048981988</v>
      </c>
      <c r="K44" s="261">
        <f>(K6+K7-K8-K9-K10-K11)/(K15-K16)</f>
        <v>0.97155632048981988</v>
      </c>
      <c r="L44" s="312"/>
      <c r="M44" s="263"/>
      <c r="N44" s="261"/>
      <c r="O44" s="261">
        <f>(O6+O7-O8-O9-O10-O11)/(O15-O16)</f>
        <v>1.1439615607992584</v>
      </c>
      <c r="P44" s="261">
        <f>(P6+P7-P8-P9-P10-P11)/(P15-P16)</f>
        <v>1.1439615607992584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493</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f>F41</f>
        <v>1.304488E-2</v>
      </c>
      <c r="G46" s="312"/>
      <c r="H46" s="293"/>
      <c r="I46" s="289"/>
      <c r="J46" s="289"/>
      <c r="K46" s="261">
        <f>K41</f>
        <v>1.6039013333333334E-2</v>
      </c>
      <c r="L46" s="312"/>
      <c r="M46" s="293"/>
      <c r="N46" s="289"/>
      <c r="O46" s="289"/>
      <c r="P46" s="261">
        <f>P41</f>
        <v>3.5455E-2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f>ROUND(F44+F46,3)</f>
        <v>0.997</v>
      </c>
      <c r="G47" s="312"/>
      <c r="H47" s="293"/>
      <c r="I47" s="289"/>
      <c r="J47" s="289"/>
      <c r="K47" s="261">
        <f>ROUND(K44+K46,3)</f>
        <v>0.98799999999999999</v>
      </c>
      <c r="L47" s="312"/>
      <c r="M47" s="293"/>
      <c r="N47" s="289"/>
      <c r="O47" s="289"/>
      <c r="P47" s="261">
        <f>ROUND(P44+P46,3)</f>
        <v>1.179</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c r="D49" s="142"/>
      <c r="E49" s="142">
        <v>0.8</v>
      </c>
      <c r="F49" s="142">
        <v>0.8</v>
      </c>
      <c r="G49" s="313"/>
      <c r="H49" s="141"/>
      <c r="I49" s="142"/>
      <c r="J49" s="142">
        <v>0.8</v>
      </c>
      <c r="K49" s="142">
        <v>0.8</v>
      </c>
      <c r="L49" s="313"/>
      <c r="M49" s="141"/>
      <c r="N49" s="142"/>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f>F47</f>
        <v>0.997</v>
      </c>
      <c r="G50" s="312"/>
      <c r="H50" s="294"/>
      <c r="I50" s="290"/>
      <c r="J50" s="290"/>
      <c r="K50" s="261">
        <f>K47</f>
        <v>0.98799999999999999</v>
      </c>
      <c r="L50" s="312"/>
      <c r="M50" s="294"/>
      <c r="N50" s="290"/>
      <c r="O50" s="290"/>
      <c r="P50" s="261">
        <f>P47</f>
        <v>1.179</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f>F15-F16</f>
        <v>167191462.63</v>
      </c>
      <c r="G51" s="312"/>
      <c r="H51" s="293"/>
      <c r="I51" s="289"/>
      <c r="J51" s="289"/>
      <c r="K51" s="116">
        <f>K15-K16</f>
        <v>91243535.459999993</v>
      </c>
      <c r="L51" s="312"/>
      <c r="M51" s="293"/>
      <c r="N51" s="289"/>
      <c r="O51" s="289"/>
      <c r="P51" s="116">
        <f>P15-P16</f>
        <v>21381512.209999997</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f>
        <v>26227</v>
      </c>
      <c r="D4" s="150">
        <f>'Pt 1 Summary of Data'!K59</f>
        <v>296882</v>
      </c>
      <c r="E4" s="150">
        <f>'Pt 1 Summary of Data'!Q56</f>
        <v>4698</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7" sqref="B7"/>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75" thickBot="1" x14ac:dyDescent="0.3">
      <c r="B4" s="272" t="s">
        <v>54</v>
      </c>
      <c r="C4" s="273"/>
      <c r="D4" s="274"/>
      <c r="E4" s="8"/>
    </row>
    <row r="5" spans="1:5" ht="35.25" customHeight="1" thickTop="1" thickBot="1" x14ac:dyDescent="0.25">
      <c r="B5" s="220" t="s">
        <v>499</v>
      </c>
      <c r="C5" s="151"/>
      <c r="D5" s="222" t="s">
        <v>502</v>
      </c>
      <c r="E5" s="8"/>
    </row>
    <row r="6" spans="1:5" ht="35.25" customHeight="1" thickTop="1" thickBot="1" x14ac:dyDescent="0.25">
      <c r="B6" s="220" t="s">
        <v>500</v>
      </c>
      <c r="C6" s="151"/>
      <c r="D6" s="222" t="s">
        <v>503</v>
      </c>
      <c r="E6" s="8"/>
    </row>
    <row r="7" spans="1:5" ht="35.25" customHeight="1" thickTop="1" x14ac:dyDescent="0.2">
      <c r="B7" s="220" t="s">
        <v>501</v>
      </c>
      <c r="C7" s="151"/>
      <c r="D7" s="222" t="s">
        <v>504</v>
      </c>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505</v>
      </c>
      <c r="C27" s="151"/>
      <c r="D27" s="224" t="s">
        <v>507</v>
      </c>
      <c r="E27" s="8"/>
    </row>
    <row r="28" spans="2:5" ht="35.25" customHeight="1" x14ac:dyDescent="0.2">
      <c r="B28" s="220" t="s">
        <v>506</v>
      </c>
      <c r="C28" s="151"/>
      <c r="D28" s="224" t="s">
        <v>507</v>
      </c>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508</v>
      </c>
      <c r="C34" s="151"/>
      <c r="D34" s="223" t="s">
        <v>509</v>
      </c>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251</v>
      </c>
      <c r="C48" s="151"/>
      <c r="D48" s="223" t="s">
        <v>510</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254</v>
      </c>
      <c r="C56" s="153"/>
      <c r="D56" s="223" t="s">
        <v>511</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512</v>
      </c>
      <c r="C123" s="151"/>
      <c r="D123" s="223" t="s">
        <v>513</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514</v>
      </c>
      <c r="C134" s="151"/>
      <c r="D134" s="223" t="s">
        <v>515</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263</v>
      </c>
      <c r="C145" s="151"/>
      <c r="D145" s="223" t="s">
        <v>516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518</v>
      </c>
      <c r="C156" s="151"/>
      <c r="D156" s="223" t="s">
        <v>517</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519</v>
      </c>
      <c r="C167" s="151"/>
      <c r="D167" s="223" t="s">
        <v>520</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522</v>
      </c>
      <c r="C178" s="151"/>
      <c r="D178" s="223" t="s">
        <v>521</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www.w3.org/XML/1998/namespace"/>
    <ds:schemaRef ds:uri="http://purl.org/dc/terms/"/>
    <ds:schemaRef ds:uri="http://purl.org/dc/dcmitype/"/>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Brad Edmister</cp:lastModifiedBy>
  <cp:lastPrinted>2015-07-31T14:20:33Z</cp:lastPrinted>
  <dcterms:created xsi:type="dcterms:W3CDTF">2012-03-15T16:14:51Z</dcterms:created>
  <dcterms:modified xsi:type="dcterms:W3CDTF">2015-07-31T14:31:52Z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