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9" i="10" l="1"/>
  <c r="K39" i="10"/>
  <c r="N45" i="10" l="1"/>
  <c r="M45" i="10"/>
  <c r="P41" i="10"/>
  <c r="O38" i="10"/>
  <c r="P38" i="10" s="1"/>
  <c r="P52" i="10" s="1"/>
  <c r="I45" i="10"/>
  <c r="H45" i="10"/>
  <c r="K41" i="10"/>
  <c r="J38" i="10"/>
  <c r="J45" i="10" s="1"/>
  <c r="G58" i="10"/>
  <c r="D45" i="10"/>
  <c r="C45" i="10"/>
  <c r="F41" i="10"/>
  <c r="E38" i="10"/>
  <c r="F38" i="10" s="1"/>
  <c r="E45" i="10" l="1"/>
  <c r="F42" i="10" s="1"/>
  <c r="F47" i="10" s="1"/>
  <c r="F48" i="10" s="1"/>
  <c r="F51" i="10" s="1"/>
  <c r="F45" i="10"/>
  <c r="P42" i="10"/>
  <c r="P45" i="10"/>
  <c r="P47" i="10" s="1"/>
  <c r="P48" i="10" s="1"/>
  <c r="P51" i="10" s="1"/>
  <c r="P53" i="10" s="1"/>
  <c r="K38" i="10"/>
  <c r="O45" i="10"/>
  <c r="P39" i="10" s="1"/>
  <c r="F52" i="10"/>
  <c r="K52" i="10" l="1"/>
  <c r="K45" i="10"/>
  <c r="K42" i="10"/>
  <c r="K47" i="10" s="1"/>
  <c r="K48" i="10" s="1"/>
  <c r="K51" i="10" s="1"/>
  <c r="K53" i="10" s="1"/>
  <c r="F53" i="10"/>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<sst xmlns="http://schemas.openxmlformats.org/spreadsheetml/2006/main" count="567" uniqueCount="505">
  <si>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</si>
  <si>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</si>
  <si>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</si>
  <si>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</si>
  <si>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</si>
  <si>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</si>
  <si>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</si>
  <si>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</si>
  <si>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</si>
  <si>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</si>
  <si>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</si>
  <si>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</si>
  <si>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</si>
  <si>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</si>
  <si>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</si>
  <si>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</si>
  <si>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</si>
  <si>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</si>
  <si>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</si>
  <si>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</si>
  <si>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</si>
  <si>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</si>
  <si>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</si>
  <si>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</si>
  <si>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</si>
  <si>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</si>
  <si>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</si>
  <si>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</si>
  <si>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</si>
  <si>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</si>
  <si>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</si>
  <si>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</si>
  <si>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</si>
  <si>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</si>
  <si>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</si>
  <si>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</si>
  <si>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</si>
  <si>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</si>
  <si>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</si>
  <si>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</si>
  <si>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</si>
  <si>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</si>
  <si>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</si>
  <si>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</si>
  <si>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</si>
  <si>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</si>
  <si>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</si>
  <si>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</si>
  <si>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</si>
  <si>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</si>
  <si>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</si>
  <si>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</si>
  <si>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</si>
  <si>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</si>
  <si>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</si>
  <si>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</si>
  <si>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</si>
  <si>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</si>
  <si>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</si>
  <si>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</si>
  <si>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</si>
  <si>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</si>
  <si>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</si>
  <si>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</si>
  <si>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</si>
  <si>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</si>
  <si>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</si>
  <si>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</si>
  <si>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</si>
  <si>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</si>
  <si>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</si>
  <si>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</si>
  <si>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</si>
  <si>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</si>
  <si>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</si>
  <si>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</si>
  <si>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</si>
  <si>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</si>
  <si>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</si>
  <si>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</si>
  <si>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</si>
  <si>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</si>
  <si>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</si>
  <si>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</si>
  <si>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</si>
  <si>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</si>
  <si>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</si>
  <si>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</si>
  <si>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</si>
  <si>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</si>
  <si>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</si>
  <si>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</si>
  <si>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</si>
  <si>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</si>
  <si>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</si>
  <si>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</si>
  <si>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</si>
  <si>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</si>
  <si>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</si>
  <si>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</si>
  <si>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</si>
  <si>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</si>
  <si>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</si>
  <si>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</si>
  <si>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</si>
  <si>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</si>
  <si>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</si>
  <si>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</si>
  <si>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</si>
  <si>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</si>
  <si>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</si>
  <si>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</si>
  <si>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</si>
  <si>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</si>
  <si>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</si>
  <si>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</si>
  <si>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</si>
  <si>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</si>
  <si>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</si>
  <si>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</si>
  <si>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</si>
  <si>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</si>
  <si>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</si>
  <si>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</si>
  <si>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</si>
  <si>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</si>
  <si>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</si>
  <si>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</si>
  <si>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</si>
  <si>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</si>
  <si>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</si>
  <si>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</si>
  <si>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</si>
  <si>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</si>
  <si>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</si>
  <si>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</si>
  <si>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</si>
  <si>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</si>
  <si>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</si>
  <si>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</si>
  <si>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</si>
  <si>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</si>
  <si>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</si>
  <si>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</si>
  <si>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</si>
  <si>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</si>
  <si>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</si>
  <si>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</si>
  <si>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</si>
  <si>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</si>
  <si>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</si>
  <si>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</si>
  <si>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</si>
  <si>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</si>
  <si>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</si>
  <si>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</si>
  <si>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</si>
  <si>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</si>
  <si>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</si>
  <si>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</si>
  <si>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</si>
  <si>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</si>
  <si>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</si>
  <si>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</si>
  <si>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</si>
  <si>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</si>
  <si>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</si>
  <si>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</si>
  <si>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</si>
  <si>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</si>
  <si>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</si>
  <si>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</si>
  <si>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</si>
  <si>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</si>
  <si>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</si>
  <si>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</si>
  <si>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</si>
  <si>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</si>
  <si>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</si>
  <si>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</si>
  <si>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</si>
  <si>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</si>
  <si>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</si>
  <si>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</si>
  <si>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</si>
  <si>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</si>
  <si>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</si>
  <si>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</si>
  <si>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</si>
  <si>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</si>
  <si>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</si>
  <si>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</si>
  <si>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</si>
  <si>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</si>
  <si>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</si>
  <si>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</si>
  <si>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</si>
  <si>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</si>
  <si>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</si>
  <si>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</si>
  <si>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</si>
  <si>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</si>
  <si>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</si>
  <si>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</si>
  <si>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</si>
  <si>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</si>
  <si>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</si>
  <si>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</si>
  <si>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</si>
  <si>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</si>
  <si>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</si>
  <si>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</si>
  <si>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</si>
  <si>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</si>
  <si>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</si>
  <si>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</si>
  <si>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</si>
  <si>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</si>
  <si>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</si>
  <si>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</si>
  <si>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</si>
  <si>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</si>
  <si>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</si>
  <si>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</si>
  <si>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</si>
  <si>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</si>
  <si>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</si>
  <si>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</si>
  <si>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</si>
  <si>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</si>
  <si>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</si>
  <si>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</si>
  <si>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</si>
  <si>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</si>
  <si>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</si>
  <si>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</si>
  <si>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</si>
  <si>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</si>
  <si>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</si>
  <si>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</si>
  <si>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</si>
  <si>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</si>
  <si>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</si>
  <si>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</si>
  <si>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</si>
  <si>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</si>
  <si>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</si>
  <si>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</si>
  <si>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</si>
  <si>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</si>
  <si>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</si>
  <si>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</si>
  <si>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</si>
  <si>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</si>
  <si>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</si>
  <si>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</si>
  <si>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</si>
  <si>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</si>
  <si>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</si>
  <si>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</si>
  <si>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</si>
  <si>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</si>
  <si>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</si>
  <si>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</si>
  <si>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</si>
  <si>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</si>
  <si>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</si>
  <si>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</si>
  <si>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</si>
  <si>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</si>
  <si>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</si>
  <si>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</si>
  <si>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</si>
  <si>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</si>
  <si>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</si>
  <si>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</si>
  <si>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</si>
  <si>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</si>
  <si>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</si>
  <si>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</si>
  <si>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</si>
  <si>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</si>
  <si>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</si>
  <si>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</si>
  <si>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</si>
  <si>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</si>
  <si>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</si>
  <si>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</si>
  <si>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</si>
  <si>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</si>
  <si>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</si>
  <si>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</si>
  <si>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</si>
  <si>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</si>
  <si>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</si>
  <si>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</si>
  <si>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</si>
  <si>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</si>
  <si>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</si>
  <si>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</si>
  <si>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</si>
  <si>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</si>
  <si>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</si>
  <si>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</si>
  <si>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</si>
  <si>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</si>
  <si>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</si>
  <si>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</si>
  <si>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</si>
  <si>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</si>
  <si>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</si>
  <si>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</si>
  <si>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</si>
  <si>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</si>
  <si>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</si>
  <si>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</si>
  <si>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</si>
  <si>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</si>
  <si>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</si>
  <si>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</si>
  <si>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</si>
  <si>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</si>
  <si>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</si>
  <si>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</si>
  <si>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</si>
  <si>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</si>
  <si>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</si>
  <si>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</si>
  <si>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</si>
  <si>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</si>
  <si>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</si>
  <si>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</si>
  <si>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</si>
  <si>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</si>
  <si>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</si>
  <si>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</si>
  <si>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</si>
  <si>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</si>
  <si>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</si>
  <si>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</si>
  <si>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</si>
  <si>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</si>
  <si>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</si>
  <si>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</si>
  <si>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</si>
  <si>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</si>
  <si>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</si>
  <si>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</si>
  <si>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</si>
  <si>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</si>
  <si>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</si>
  <si>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</si>
  <si>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</si>
  <si>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</si>
  <si>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</si>
  <si>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</si>
  <si>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</si>
  <si>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</si>
  <si>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</si>
  <si>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</si>
  <si>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</si>
  <si>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</si>
  <si>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</si>
  <si>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</si>
  <si>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</si>
  <si>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</si>
  <si>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</si>
  <si>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</si>
  <si>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</si>
  <si>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</si>
  <si>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</si>
  <si>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</si>
  <si>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</si>
  <si>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</si>
  <si>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</si>
  <si>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</si>
  <si>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</si>
  <si>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</si>
  <si>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</si>
  <si>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</si>
  <si>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</si>
  <si>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</si>
  <si>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</si>
  <si>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</si>
  <si>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</si>
  <si>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</si>
  <si>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</si>
  <si>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</si>
  <si>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</si>
  <si>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</si>
  <si>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</si>
  <si>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</si>
  <si>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</si>
  <si>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</si>
  <si>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</si>
  <si>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</si>
  <si>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</si>
  <si>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</si>
  <si>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</si>
  <si>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</si>
  <si>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</si>
  <si>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</si>
  <si>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</si>
  <si>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</si>
  <si>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</si>
  <si>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</si>
  <si>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</si>
  <si>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</si>
  <si>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</si>
  <si>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</si>
  <si>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</si>
  <si>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</si>
  <si>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</si>
  <si>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</si>
  <si>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</si>
  <si>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</si>
  <si>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</si>
  <si>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</si>
  <si>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</si>
  <si>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</si>
  <si>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</si>
  <si>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</si>
  <si>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</si>
  <si>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</si>
  <si>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</si>
  <si>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</si>
  <si>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</si>
  <si>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</si>
  <si>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</si>
  <si>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</si>
  <si>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</si>
  <si>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</si>
  <si>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</si>
  <si>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</si>
  <si>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</si>
  <si>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</si>
  <si>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</si>
  <si>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</si>
  <si>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</si>
  <si>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</si>
  <si>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</si>
  <si>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</si>
  <si>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</si>
  <si>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</si>
  <si>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</si>
  <si>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</si>
  <si>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</si>
  <si>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</si>
  <si>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</si>
  <si>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</si>
  <si>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</si>
  <si>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</si>
  <si>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</si>
  <si>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</si>
  <si>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</si>
  <si>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</si>
  <si>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</si>
  <si>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</si>
  <si>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</si>
  <si>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</si>
  <si>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</si>
  <si>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</si>
  <si>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</si>
  <si>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</si>
  <si>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</si>
  <si>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</si>
  <si>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</si>
  <si>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</si>
  <si>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</si>
  <si>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</si>
  <si>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</si>
  <si>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</si>
  <si>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</si>
  <si>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</si>
  <si>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</si>
  <si>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</si>
  <si>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</si>
  <si>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</si>
  <si>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</si>
  <si>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</si>
  <si>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</si>
  <si>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</si>
  <si>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</si>
  <si>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</si>
  <si>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</si>
  <si>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</si>
  <si>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</si>
  <si>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</si>
  <si>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</si>
  <si>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</si>
  <si>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</si>
  <si>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</si>
  <si>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</si>
  <si>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</si>
  <si>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</si>
  <si>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</si>
  <si>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Dean Health Plan, Inc</t>
  </si>
  <si>
    <t>Dean Health Grp</t>
  </si>
  <si>
    <t>01294</t>
  </si>
  <si>
    <t>2015</t>
  </si>
  <si>
    <t>1277 Deming Way Madison, WI 53717</t>
  </si>
  <si>
    <t>391535024</t>
  </si>
  <si>
    <t>064203</t>
  </si>
  <si>
    <t>96156</t>
  </si>
  <si>
    <t>135</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</si>
</sst>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
      <left style="thin">
        <color indexed="64"/>
      </left>
      <right style="medium">
        <color indexed="64"/>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26"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0" borderId="109" xfId="115"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terdepartmental/Fin/GENACCTG/Risk%20Corridor%20Documentation/2015%20Risk%20Corridor/2015-MLR-Calculator-20160512-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Wisconsin</v>
          </cell>
        </row>
      </sheetData>
      <sheetData sheetId="3">
        <row r="59">
          <cell r="E59">
            <v>49660</v>
          </cell>
          <cell r="G59"/>
          <cell r="H59"/>
          <cell r="K59">
            <v>258093</v>
          </cell>
          <cell r="M59"/>
          <cell r="N59"/>
          <cell r="Q59">
            <v>1679026</v>
          </cell>
          <cell r="S59"/>
          <cell r="T59"/>
        </row>
      </sheetData>
      <sheetData sheetId="4"/>
      <sheetData sheetId="5"/>
      <sheetData sheetId="6"/>
      <sheetData sheetId="7"/>
      <sheetData sheetId="8"/>
      <sheetData sheetId="9">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row r="17">
          <cell r="A17">
            <v>0</v>
          </cell>
          <cell r="B17">
            <v>1</v>
          </cell>
        </row>
        <row r="18">
          <cell r="A18">
            <v>2500</v>
          </cell>
          <cell r="B18">
            <v>1.1639999999999999</v>
          </cell>
        </row>
        <row r="19">
          <cell r="A19">
            <v>5000</v>
          </cell>
          <cell r="B19">
            <v>1.4019999999999999</v>
          </cell>
        </row>
        <row r="20">
          <cell r="A20">
            <v>10000</v>
          </cell>
          <cell r="B20">
            <v>1.736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sheetData sheetId="5"/>
      <sheetData sheetId="6"/>
      <sheetData sheetId="7"/>
      <sheetData sheetId="8"/>
      <sheetData sheetId="9">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S56" sqref="AS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158422503</v>
      </c>
      <c r="E5" s="213">
        <v>182060332.40224802</v>
      </c>
      <c r="F5" s="213">
        <v>0</v>
      </c>
      <c r="G5" s="213">
        <v>0</v>
      </c>
      <c r="H5" s="213">
        <v>0</v>
      </c>
      <c r="I5" s="212">
        <v>132747366.5553087</v>
      </c>
      <c r="J5" s="212">
        <v>109015399</v>
      </c>
      <c r="K5" s="213">
        <v>109015399</v>
      </c>
      <c r="L5" s="213">
        <v>0</v>
      </c>
      <c r="M5" s="213">
        <v>0</v>
      </c>
      <c r="N5" s="213">
        <v>0</v>
      </c>
      <c r="O5" s="212">
        <v>0</v>
      </c>
      <c r="P5" s="212">
        <v>745606820</v>
      </c>
      <c r="Q5" s="213">
        <v>745606820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171341929</v>
      </c>
      <c r="AT5" s="214">
        <v>34944174</v>
      </c>
      <c r="AU5" s="214">
        <v>0</v>
      </c>
      <c r="AV5" s="215"/>
      <c r="AW5" s="296"/>
    </row>
    <row r="6" spans="1:49" x14ac:dyDescent="0.2">
      <c r="B6" s="239" t="s">
        <v>223</v>
      </c>
      <c r="C6" s="203" t="s">
        <v>12</v>
      </c>
      <c r="D6" s="216">
        <v>0</v>
      </c>
      <c r="E6" s="217">
        <v>0</v>
      </c>
      <c r="F6" s="217">
        <v>0</v>
      </c>
      <c r="G6" s="218">
        <v>0</v>
      </c>
      <c r="H6" s="218">
        <v>0</v>
      </c>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v>0</v>
      </c>
      <c r="F7" s="217">
        <v>0</v>
      </c>
      <c r="G7" s="217">
        <v>0</v>
      </c>
      <c r="H7" s="217">
        <v>0</v>
      </c>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114486</v>
      </c>
      <c r="E9" s="267"/>
      <c r="F9" s="270"/>
      <c r="G9" s="270"/>
      <c r="H9" s="270"/>
      <c r="I9" s="271"/>
      <c r="J9" s="216">
        <v>78774</v>
      </c>
      <c r="K9" s="267"/>
      <c r="L9" s="270"/>
      <c r="M9" s="270"/>
      <c r="N9" s="270"/>
      <c r="O9" s="271"/>
      <c r="P9" s="216">
        <v>538792</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-81246</v>
      </c>
      <c r="AT9" s="220">
        <v>-16570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161628931</v>
      </c>
      <c r="E12" s="213">
        <v>160299988</v>
      </c>
      <c r="F12" s="213">
        <v>0</v>
      </c>
      <c r="G12" s="213">
        <v>0</v>
      </c>
      <c r="H12" s="213">
        <v>0</v>
      </c>
      <c r="I12" s="212">
        <v>162433732.19309959</v>
      </c>
      <c r="J12" s="212">
        <v>84602027</v>
      </c>
      <c r="K12" s="213">
        <v>84471576</v>
      </c>
      <c r="L12" s="213">
        <v>0</v>
      </c>
      <c r="M12" s="213">
        <v>0</v>
      </c>
      <c r="N12" s="213">
        <v>0</v>
      </c>
      <c r="O12" s="212">
        <v>0</v>
      </c>
      <c r="P12" s="212">
        <v>623135013</v>
      </c>
      <c r="Q12" s="213">
        <v>629598719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149299338</v>
      </c>
      <c r="AT12" s="214">
        <v>30195617</v>
      </c>
      <c r="AU12" s="214">
        <v>0</v>
      </c>
      <c r="AV12" s="291"/>
      <c r="AW12" s="296"/>
    </row>
    <row r="13" spans="1:49" ht="25.5" x14ac:dyDescent="0.2">
      <c r="B13" s="239" t="s">
        <v>230</v>
      </c>
      <c r="C13" s="203" t="s">
        <v>37</v>
      </c>
      <c r="D13" s="216">
        <v>25780699</v>
      </c>
      <c r="E13" s="217">
        <v>25780699</v>
      </c>
      <c r="F13" s="217">
        <v>0</v>
      </c>
      <c r="G13" s="268"/>
      <c r="H13" s="269"/>
      <c r="I13" s="216">
        <v>20911138</v>
      </c>
      <c r="J13" s="216">
        <v>15258183</v>
      </c>
      <c r="K13" s="217">
        <v>15258183</v>
      </c>
      <c r="L13" s="217"/>
      <c r="M13" s="268"/>
      <c r="N13" s="269"/>
      <c r="O13" s="216"/>
      <c r="P13" s="216">
        <v>81092710</v>
      </c>
      <c r="Q13" s="217">
        <v>81092710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1598337</v>
      </c>
      <c r="AT13" s="220">
        <v>148973</v>
      </c>
      <c r="AU13" s="220"/>
      <c r="AV13" s="290"/>
      <c r="AW13" s="297"/>
    </row>
    <row r="14" spans="1:49" ht="25.5" x14ac:dyDescent="0.2">
      <c r="B14" s="239" t="s">
        <v>231</v>
      </c>
      <c r="C14" s="203" t="s">
        <v>6</v>
      </c>
      <c r="D14" s="216">
        <v>3868805</v>
      </c>
      <c r="E14" s="217">
        <v>-3868805</v>
      </c>
      <c r="F14" s="217">
        <v>0</v>
      </c>
      <c r="G14" s="267"/>
      <c r="H14" s="270"/>
      <c r="I14" s="216">
        <v>-3599259</v>
      </c>
      <c r="J14" s="216">
        <v>2415656</v>
      </c>
      <c r="K14" s="217">
        <v>2415656</v>
      </c>
      <c r="L14" s="217"/>
      <c r="M14" s="267"/>
      <c r="N14" s="270"/>
      <c r="O14" s="216"/>
      <c r="P14" s="216">
        <v>12806089</v>
      </c>
      <c r="Q14" s="217">
        <v>12806089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269084</v>
      </c>
      <c r="AT14" s="220">
        <v>25080</v>
      </c>
      <c r="AU14" s="220"/>
      <c r="AV14" s="290"/>
      <c r="AW14" s="297"/>
    </row>
    <row r="15" spans="1:49" ht="38.25" x14ac:dyDescent="0.2">
      <c r="B15" s="239" t="s">
        <v>232</v>
      </c>
      <c r="C15" s="203" t="s">
        <v>7</v>
      </c>
      <c r="D15" s="216">
        <v>0</v>
      </c>
      <c r="E15" s="217">
        <v>0</v>
      </c>
      <c r="F15" s="217">
        <v>0</v>
      </c>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2914653.9106743596</v>
      </c>
      <c r="E25" s="217">
        <v>2914653.9106743596</v>
      </c>
      <c r="F25" s="217"/>
      <c r="G25" s="217"/>
      <c r="H25" s="217"/>
      <c r="I25" s="216">
        <v>2287581.8317199522</v>
      </c>
      <c r="J25" s="216">
        <v>2005523.1629965401</v>
      </c>
      <c r="K25" s="217">
        <v>2005523.1629965401</v>
      </c>
      <c r="L25" s="217"/>
      <c r="M25" s="217"/>
      <c r="N25" s="217"/>
      <c r="O25" s="216"/>
      <c r="P25" s="216">
        <v>13716627.812133161</v>
      </c>
      <c r="Q25" s="217">
        <v>13716627.812133161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3151958.1161541403</v>
      </c>
      <c r="AT25" s="220">
        <v>642769.72804180009</v>
      </c>
      <c r="AU25" s="220"/>
      <c r="AV25" s="220"/>
      <c r="AW25" s="297"/>
    </row>
    <row r="26" spans="1:49" s="5" customFormat="1" x14ac:dyDescent="0.2">
      <c r="A26" s="35"/>
      <c r="B26" s="242" t="s">
        <v>242</v>
      </c>
      <c r="C26" s="203"/>
      <c r="D26" s="216">
        <v>55286.715659999994</v>
      </c>
      <c r="E26" s="217">
        <v>55286.715659999994</v>
      </c>
      <c r="F26" s="217"/>
      <c r="G26" s="217"/>
      <c r="H26" s="217"/>
      <c r="I26" s="216">
        <v>43392.764859324656</v>
      </c>
      <c r="J26" s="216">
        <v>38040.146999999997</v>
      </c>
      <c r="K26" s="217">
        <v>38040.146999999997</v>
      </c>
      <c r="L26" s="217"/>
      <c r="M26" s="217"/>
      <c r="N26" s="217"/>
      <c r="O26" s="216"/>
      <c r="P26" s="216">
        <v>260192.90346</v>
      </c>
      <c r="Q26" s="217">
        <v>260192.90346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59791.11159</v>
      </c>
      <c r="AT26" s="220">
        <v>12194.973300000001</v>
      </c>
      <c r="AU26" s="220"/>
      <c r="AV26" s="220"/>
      <c r="AW26" s="297"/>
    </row>
    <row r="27" spans="1:49" s="5" customFormat="1" x14ac:dyDescent="0.2">
      <c r="B27" s="242" t="s">
        <v>243</v>
      </c>
      <c r="C27" s="203"/>
      <c r="D27" s="216">
        <v>2736446.6938736397</v>
      </c>
      <c r="E27" s="217">
        <v>2736446.6938736397</v>
      </c>
      <c r="F27" s="217"/>
      <c r="G27" s="217"/>
      <c r="H27" s="217"/>
      <c r="I27" s="216">
        <v>2147752.0533292773</v>
      </c>
      <c r="J27" s="216">
        <v>1882776.0793254601</v>
      </c>
      <c r="K27" s="217">
        <v>1882776.0793254601</v>
      </c>
      <c r="L27" s="217"/>
      <c r="M27" s="217"/>
      <c r="N27" s="217"/>
      <c r="O27" s="216"/>
      <c r="P27" s="216">
        <v>12878392.249254841</v>
      </c>
      <c r="Q27" s="217">
        <v>12878392.249254841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2959394.27184786</v>
      </c>
      <c r="AT27" s="220">
        <v>603596.97569820005</v>
      </c>
      <c r="AU27" s="220"/>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525325</v>
      </c>
      <c r="E30" s="217">
        <v>525325</v>
      </c>
      <c r="F30" s="217"/>
      <c r="G30" s="217"/>
      <c r="H30" s="217"/>
      <c r="I30" s="216">
        <v>412412.26574827282</v>
      </c>
      <c r="J30" s="216">
        <v>361456</v>
      </c>
      <c r="K30" s="217">
        <v>361456</v>
      </c>
      <c r="L30" s="217"/>
      <c r="M30" s="217"/>
      <c r="N30" s="217"/>
      <c r="O30" s="216"/>
      <c r="P30" s="216">
        <v>2472269</v>
      </c>
      <c r="Q30" s="217">
        <v>2472269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568110</v>
      </c>
      <c r="AT30" s="220">
        <v>115862</v>
      </c>
      <c r="AU30" s="220"/>
      <c r="AV30" s="220"/>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359567</v>
      </c>
      <c r="E37" s="225">
        <v>359567</v>
      </c>
      <c r="F37" s="225">
        <v>0</v>
      </c>
      <c r="G37" s="225">
        <v>0</v>
      </c>
      <c r="H37" s="225">
        <v>0</v>
      </c>
      <c r="I37" s="224">
        <v>282282.09424320032</v>
      </c>
      <c r="J37" s="224">
        <v>197150</v>
      </c>
      <c r="K37" s="225">
        <v>197150</v>
      </c>
      <c r="L37" s="225">
        <v>0</v>
      </c>
      <c r="M37" s="225">
        <v>0</v>
      </c>
      <c r="N37" s="225">
        <v>0</v>
      </c>
      <c r="O37" s="224">
        <v>0</v>
      </c>
      <c r="P37" s="224">
        <v>1399834</v>
      </c>
      <c r="Q37" s="225">
        <v>1399834</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327894</v>
      </c>
      <c r="AT37" s="226">
        <v>66579</v>
      </c>
      <c r="AU37" s="226"/>
      <c r="AV37" s="226"/>
      <c r="AW37" s="296"/>
    </row>
    <row r="38" spans="1:49" x14ac:dyDescent="0.2">
      <c r="B38" s="239" t="s">
        <v>254</v>
      </c>
      <c r="C38" s="203" t="s">
        <v>16</v>
      </c>
      <c r="D38" s="216">
        <v>91953</v>
      </c>
      <c r="E38" s="217">
        <v>91953</v>
      </c>
      <c r="F38" s="217">
        <v>0</v>
      </c>
      <c r="G38" s="217">
        <v>0</v>
      </c>
      <c r="H38" s="217">
        <v>0</v>
      </c>
      <c r="I38" s="216">
        <v>72188.730923430121</v>
      </c>
      <c r="J38" s="216">
        <v>51230</v>
      </c>
      <c r="K38" s="217">
        <v>51230</v>
      </c>
      <c r="L38" s="217">
        <v>0</v>
      </c>
      <c r="M38" s="217">
        <v>0</v>
      </c>
      <c r="N38" s="217">
        <v>0</v>
      </c>
      <c r="O38" s="216">
        <v>0</v>
      </c>
      <c r="P38" s="216">
        <v>362708</v>
      </c>
      <c r="Q38" s="217">
        <v>362708</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84838</v>
      </c>
      <c r="AT38" s="220">
        <v>17232</v>
      </c>
      <c r="AU38" s="220"/>
      <c r="AV38" s="220"/>
      <c r="AW38" s="297"/>
    </row>
    <row r="39" spans="1:49" x14ac:dyDescent="0.2">
      <c r="B39" s="242" t="s">
        <v>255</v>
      </c>
      <c r="C39" s="203" t="s">
        <v>17</v>
      </c>
      <c r="D39" s="216">
        <v>25367</v>
      </c>
      <c r="E39" s="217">
        <v>25367</v>
      </c>
      <c r="F39" s="217">
        <v>0</v>
      </c>
      <c r="G39" s="217">
        <v>0</v>
      </c>
      <c r="H39" s="217">
        <v>0</v>
      </c>
      <c r="I39" s="216">
        <v>19914.647018962427</v>
      </c>
      <c r="J39" s="216">
        <v>13702</v>
      </c>
      <c r="K39" s="217">
        <v>13702</v>
      </c>
      <c r="L39" s="217">
        <v>0</v>
      </c>
      <c r="M39" s="217">
        <v>0</v>
      </c>
      <c r="N39" s="217">
        <v>0</v>
      </c>
      <c r="O39" s="216">
        <v>0</v>
      </c>
      <c r="P39" s="216">
        <v>97553</v>
      </c>
      <c r="Q39" s="217">
        <v>97553</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22882</v>
      </c>
      <c r="AT39" s="220">
        <v>4645</v>
      </c>
      <c r="AU39" s="220"/>
      <c r="AV39" s="220"/>
      <c r="AW39" s="297"/>
    </row>
    <row r="40" spans="1:49" x14ac:dyDescent="0.2">
      <c r="B40" s="242" t="s">
        <v>256</v>
      </c>
      <c r="C40" s="203" t="s">
        <v>38</v>
      </c>
      <c r="D40" s="216">
        <v>165466</v>
      </c>
      <c r="E40" s="217">
        <v>165466</v>
      </c>
      <c r="F40" s="217">
        <v>0</v>
      </c>
      <c r="G40" s="217">
        <v>0</v>
      </c>
      <c r="H40" s="217">
        <v>0</v>
      </c>
      <c r="I40" s="216">
        <v>129900.93363975389</v>
      </c>
      <c r="J40" s="216">
        <v>89769</v>
      </c>
      <c r="K40" s="217">
        <v>89769</v>
      </c>
      <c r="L40" s="217">
        <v>0</v>
      </c>
      <c r="M40" s="217">
        <v>0</v>
      </c>
      <c r="N40" s="217">
        <v>0</v>
      </c>
      <c r="O40" s="216">
        <v>0</v>
      </c>
      <c r="P40" s="216">
        <v>638618</v>
      </c>
      <c r="Q40" s="217">
        <v>638618</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149731</v>
      </c>
      <c r="AT40" s="220">
        <v>30396</v>
      </c>
      <c r="AU40" s="220"/>
      <c r="AV40" s="220"/>
      <c r="AW40" s="297"/>
    </row>
    <row r="41" spans="1:49" s="5" customFormat="1" ht="25.5" x14ac:dyDescent="0.2">
      <c r="A41" s="35"/>
      <c r="B41" s="242" t="s">
        <v>257</v>
      </c>
      <c r="C41" s="203" t="s">
        <v>129</v>
      </c>
      <c r="D41" s="216">
        <v>312232</v>
      </c>
      <c r="E41" s="217">
        <v>312232</v>
      </c>
      <c r="F41" s="217">
        <v>0</v>
      </c>
      <c r="G41" s="217">
        <v>0</v>
      </c>
      <c r="H41" s="217">
        <v>0</v>
      </c>
      <c r="I41" s="216">
        <v>245121.22316492593</v>
      </c>
      <c r="J41" s="216">
        <v>166969</v>
      </c>
      <c r="K41" s="217">
        <v>166969</v>
      </c>
      <c r="L41" s="217">
        <v>0</v>
      </c>
      <c r="M41" s="217">
        <v>0</v>
      </c>
      <c r="N41" s="217">
        <v>0</v>
      </c>
      <c r="O41" s="216">
        <v>0</v>
      </c>
      <c r="P41" s="216">
        <v>1190970</v>
      </c>
      <c r="Q41" s="217">
        <v>1190970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279603</v>
      </c>
      <c r="AT41" s="220">
        <v>56744</v>
      </c>
      <c r="AU41" s="220"/>
      <c r="AV41" s="220"/>
      <c r="AW41" s="297"/>
    </row>
    <row r="42" spans="1:49" s="5" customFormat="1" ht="24.95" customHeight="1" x14ac:dyDescent="0.2">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1319399</v>
      </c>
      <c r="E44" s="225">
        <v>1319399</v>
      </c>
      <c r="F44" s="225"/>
      <c r="G44" s="225"/>
      <c r="H44" s="225"/>
      <c r="I44" s="224">
        <v>1035808.9392585645</v>
      </c>
      <c r="J44" s="224">
        <v>601403</v>
      </c>
      <c r="K44" s="225">
        <v>601403</v>
      </c>
      <c r="L44" s="225"/>
      <c r="M44" s="225"/>
      <c r="N44" s="225"/>
      <c r="O44" s="224"/>
      <c r="P44" s="224">
        <v>4426762</v>
      </c>
      <c r="Q44" s="225">
        <v>4426762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1055176</v>
      </c>
      <c r="AT44" s="226">
        <v>213408</v>
      </c>
      <c r="AU44" s="226"/>
      <c r="AV44" s="226"/>
      <c r="AW44" s="296"/>
    </row>
    <row r="45" spans="1:49" x14ac:dyDescent="0.2">
      <c r="B45" s="245" t="s">
        <v>261</v>
      </c>
      <c r="C45" s="203" t="s">
        <v>19</v>
      </c>
      <c r="D45" s="216">
        <v>1369378</v>
      </c>
      <c r="E45" s="217">
        <v>1369378</v>
      </c>
      <c r="F45" s="217"/>
      <c r="G45" s="217"/>
      <c r="H45" s="217"/>
      <c r="I45" s="216">
        <v>1075045.5121036279</v>
      </c>
      <c r="J45" s="216">
        <v>624184</v>
      </c>
      <c r="K45" s="217">
        <v>624184</v>
      </c>
      <c r="L45" s="217"/>
      <c r="M45" s="217"/>
      <c r="N45" s="217"/>
      <c r="O45" s="216"/>
      <c r="P45" s="216">
        <v>4594449</v>
      </c>
      <c r="Q45" s="217">
        <v>4594449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1095146</v>
      </c>
      <c r="AT45" s="220">
        <v>221492</v>
      </c>
      <c r="AU45" s="220"/>
      <c r="AV45" s="220"/>
      <c r="AW45" s="297"/>
    </row>
    <row r="46" spans="1:49" x14ac:dyDescent="0.2">
      <c r="B46" s="245" t="s">
        <v>262</v>
      </c>
      <c r="C46" s="203" t="s">
        <v>20</v>
      </c>
      <c r="D46" s="216">
        <v>0</v>
      </c>
      <c r="E46" s="217">
        <v>0</v>
      </c>
      <c r="F46" s="217">
        <v>0</v>
      </c>
      <c r="G46" s="217">
        <v>0</v>
      </c>
      <c r="H46" s="217">
        <v>0</v>
      </c>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4671965</v>
      </c>
      <c r="E47" s="217">
        <v>4671965</v>
      </c>
      <c r="F47" s="217"/>
      <c r="G47" s="217"/>
      <c r="H47" s="217"/>
      <c r="I47" s="216">
        <v>3667778.3679562733</v>
      </c>
      <c r="J47" s="216">
        <v>886315</v>
      </c>
      <c r="K47" s="217">
        <v>886315</v>
      </c>
      <c r="L47" s="217"/>
      <c r="M47" s="217"/>
      <c r="N47" s="217"/>
      <c r="O47" s="216"/>
      <c r="P47" s="216">
        <v>6691143</v>
      </c>
      <c r="Q47" s="217">
        <v>6691143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17353275</v>
      </c>
      <c r="E51" s="217">
        <v>17353275</v>
      </c>
      <c r="F51" s="217">
        <v>0</v>
      </c>
      <c r="G51" s="217">
        <v>0</v>
      </c>
      <c r="H51" s="217">
        <v>0</v>
      </c>
      <c r="I51" s="216">
        <v>13623382.593447596</v>
      </c>
      <c r="J51" s="216">
        <v>7909892</v>
      </c>
      <c r="K51" s="217">
        <v>7909892</v>
      </c>
      <c r="L51" s="217">
        <v>0</v>
      </c>
      <c r="M51" s="217">
        <v>0</v>
      </c>
      <c r="N51" s="217">
        <v>0</v>
      </c>
      <c r="O51" s="216">
        <v>0</v>
      </c>
      <c r="P51" s="216">
        <v>58222578</v>
      </c>
      <c r="Q51" s="217">
        <v>58222578</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c r="AJ51" s="270"/>
      <c r="AK51" s="270"/>
      <c r="AL51" s="270"/>
      <c r="AM51" s="270"/>
      <c r="AN51" s="216"/>
      <c r="AO51" s="217"/>
      <c r="AP51" s="217"/>
      <c r="AQ51" s="217"/>
      <c r="AR51" s="217"/>
      <c r="AS51" s="216">
        <v>13878106</v>
      </c>
      <c r="AT51" s="220">
        <v>2806830</v>
      </c>
      <c r="AU51" s="220"/>
      <c r="AV51" s="220"/>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v>0</v>
      </c>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26469</v>
      </c>
      <c r="E56" s="229">
        <v>26469</v>
      </c>
      <c r="F56" s="229"/>
      <c r="G56" s="229"/>
      <c r="H56" s="229"/>
      <c r="I56" s="228">
        <v>12709</v>
      </c>
      <c r="J56" s="228">
        <v>11053</v>
      </c>
      <c r="K56" s="229">
        <v>11053</v>
      </c>
      <c r="L56" s="229"/>
      <c r="M56" s="229"/>
      <c r="N56" s="229"/>
      <c r="O56" s="228"/>
      <c r="P56" s="228">
        <v>64460</v>
      </c>
      <c r="Q56" s="229">
        <v>64460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67360</v>
      </c>
      <c r="AT56" s="230">
        <v>1407</v>
      </c>
      <c r="AU56" s="230"/>
      <c r="AV56" s="230"/>
      <c r="AW56" s="288"/>
    </row>
    <row r="57" spans="2:49" x14ac:dyDescent="0.2">
      <c r="B57" s="245" t="s">
        <v>272</v>
      </c>
      <c r="C57" s="203" t="s">
        <v>25</v>
      </c>
      <c r="D57" s="231">
        <v>39782</v>
      </c>
      <c r="E57" s="232">
        <v>39782</v>
      </c>
      <c r="F57" s="232"/>
      <c r="G57" s="232"/>
      <c r="H57" s="232"/>
      <c r="I57" s="231">
        <v>17276</v>
      </c>
      <c r="J57" s="231">
        <v>21263</v>
      </c>
      <c r="K57" s="232">
        <v>21263</v>
      </c>
      <c r="L57" s="232"/>
      <c r="M57" s="232"/>
      <c r="N57" s="232"/>
      <c r="O57" s="231"/>
      <c r="P57" s="231">
        <v>141815</v>
      </c>
      <c r="Q57" s="232">
        <v>141815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67360</v>
      </c>
      <c r="AT57" s="233">
        <v>1407</v>
      </c>
      <c r="AU57" s="233"/>
      <c r="AV57" s="233"/>
      <c r="AW57" s="289"/>
    </row>
    <row r="58" spans="2:49" x14ac:dyDescent="0.2">
      <c r="B58" s="245" t="s">
        <v>273</v>
      </c>
      <c r="C58" s="203" t="s">
        <v>26</v>
      </c>
      <c r="D58" s="309"/>
      <c r="E58" s="310"/>
      <c r="F58" s="310"/>
      <c r="G58" s="310"/>
      <c r="H58" s="310"/>
      <c r="I58" s="309"/>
      <c r="J58" s="231">
        <v>932</v>
      </c>
      <c r="K58" s="232">
        <v>932</v>
      </c>
      <c r="L58" s="232"/>
      <c r="M58" s="232"/>
      <c r="N58" s="232"/>
      <c r="O58" s="231"/>
      <c r="P58" s="231">
        <v>298</v>
      </c>
      <c r="Q58" s="232">
        <v>298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3</v>
      </c>
      <c r="AT58" s="233">
        <v>3</v>
      </c>
      <c r="AU58" s="233"/>
      <c r="AV58" s="233"/>
      <c r="AW58" s="289"/>
    </row>
    <row r="59" spans="2:49" x14ac:dyDescent="0.2">
      <c r="B59" s="245" t="s">
        <v>274</v>
      </c>
      <c r="C59" s="203" t="s">
        <v>27</v>
      </c>
      <c r="D59" s="231">
        <v>49660</v>
      </c>
      <c r="E59" s="232">
        <v>49660</v>
      </c>
      <c r="F59" s="232"/>
      <c r="G59" s="232"/>
      <c r="H59" s="232"/>
      <c r="I59" s="231">
        <v>171826</v>
      </c>
      <c r="J59" s="231">
        <v>258093</v>
      </c>
      <c r="K59" s="232">
        <v>258093</v>
      </c>
      <c r="L59" s="232"/>
      <c r="M59" s="232"/>
      <c r="N59" s="232"/>
      <c r="O59" s="231"/>
      <c r="P59" s="231">
        <v>1679026</v>
      </c>
      <c r="Q59" s="232">
        <v>1679026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804763</v>
      </c>
      <c r="AT59" s="233">
        <v>17173</v>
      </c>
      <c r="AU59" s="233"/>
      <c r="AV59" s="233"/>
      <c r="AW59" s="289"/>
    </row>
    <row r="60" spans="2:49" x14ac:dyDescent="0.2">
      <c r="B60" s="245" t="s">
        <v>275</v>
      </c>
      <c r="C60" s="203"/>
      <c r="D60" s="234">
        <v>4138.333333333333</v>
      </c>
      <c r="E60" s="235">
        <v>4138.333333333333</v>
      </c>
      <c r="F60" s="235">
        <v>0</v>
      </c>
      <c r="G60" s="235">
        <v>0</v>
      </c>
      <c r="H60" s="235">
        <v>0</v>
      </c>
      <c r="I60" s="234">
        <v>14318.833333333334</v>
      </c>
      <c r="J60" s="234">
        <v>21507.75</v>
      </c>
      <c r="K60" s="235">
        <v>21507.75</v>
      </c>
      <c r="L60" s="235">
        <v>0</v>
      </c>
      <c r="M60" s="235">
        <v>0</v>
      </c>
      <c r="N60" s="235">
        <v>0</v>
      </c>
      <c r="O60" s="234">
        <v>0</v>
      </c>
      <c r="P60" s="234">
        <v>139918.83333333334</v>
      </c>
      <c r="Q60" s="235">
        <v>139918.83333333334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67063.583333333328</v>
      </c>
      <c r="AT60" s="236">
        <v>1431.0833333333333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R54" sqref="R54:AC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156623649</v>
      </c>
      <c r="E5" s="326">
        <v>156623649</v>
      </c>
      <c r="F5" s="326"/>
      <c r="G5" s="328"/>
      <c r="H5" s="328"/>
      <c r="I5" s="325">
        <v>124371357.5553087</v>
      </c>
      <c r="J5" s="325">
        <v>108175951</v>
      </c>
      <c r="K5" s="326">
        <v>108175951</v>
      </c>
      <c r="L5" s="326"/>
      <c r="M5" s="326"/>
      <c r="N5" s="326"/>
      <c r="O5" s="325"/>
      <c r="P5" s="325">
        <v>739937506</v>
      </c>
      <c r="Q5" s="326">
        <v>739937506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169862991</v>
      </c>
      <c r="AT5" s="327">
        <v>34664012</v>
      </c>
      <c r="AU5" s="327"/>
      <c r="AV5" s="369"/>
      <c r="AW5" s="373"/>
    </row>
    <row r="6" spans="2:49" x14ac:dyDescent="0.2">
      <c r="B6" s="343" t="s">
        <v>278</v>
      </c>
      <c r="C6" s="331" t="s">
        <v>8</v>
      </c>
      <c r="D6" s="318">
        <v>3611687</v>
      </c>
      <c r="E6" s="319">
        <v>3611687</v>
      </c>
      <c r="F6" s="319"/>
      <c r="G6" s="320"/>
      <c r="H6" s="320"/>
      <c r="I6" s="318"/>
      <c r="J6" s="318">
        <v>2485059</v>
      </c>
      <c r="K6" s="319">
        <v>2485059</v>
      </c>
      <c r="L6" s="319"/>
      <c r="M6" s="319"/>
      <c r="N6" s="319"/>
      <c r="O6" s="318"/>
      <c r="P6" s="318">
        <v>16997205</v>
      </c>
      <c r="Q6" s="319">
        <v>16997205</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3905840</v>
      </c>
      <c r="AT6" s="321">
        <v>796569</v>
      </c>
      <c r="AU6" s="321"/>
      <c r="AV6" s="368"/>
      <c r="AW6" s="374"/>
    </row>
    <row r="7" spans="2:49" x14ac:dyDescent="0.2">
      <c r="B7" s="343" t="s">
        <v>279</v>
      </c>
      <c r="C7" s="331" t="s">
        <v>9</v>
      </c>
      <c r="D7" s="318">
        <v>1796646</v>
      </c>
      <c r="E7" s="319">
        <v>1796646</v>
      </c>
      <c r="F7" s="319"/>
      <c r="G7" s="320"/>
      <c r="H7" s="320"/>
      <c r="I7" s="318"/>
      <c r="J7" s="318">
        <v>1645611</v>
      </c>
      <c r="K7" s="319">
        <v>1645611</v>
      </c>
      <c r="L7" s="319"/>
      <c r="M7" s="319"/>
      <c r="N7" s="319"/>
      <c r="O7" s="318"/>
      <c r="P7" s="318">
        <v>11295667</v>
      </c>
      <c r="Q7" s="319">
        <v>11295667</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2426123</v>
      </c>
      <c r="AT7" s="321">
        <v>516407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16187</v>
      </c>
      <c r="E13" s="319">
        <v>16187</v>
      </c>
      <c r="F13" s="319"/>
      <c r="G13" s="319"/>
      <c r="H13" s="319"/>
      <c r="I13" s="318"/>
      <c r="J13" s="318"/>
      <c r="K13" s="319"/>
      <c r="L13" s="319"/>
      <c r="M13" s="319"/>
      <c r="N13" s="319"/>
      <c r="O13" s="318"/>
      <c r="P13" s="318">
        <v>32224</v>
      </c>
      <c r="Q13" s="319">
        <v>32224</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779</v>
      </c>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v>18748097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v>-10372088</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23637829.402248017</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162414975</v>
      </c>
      <c r="E23" s="362"/>
      <c r="F23" s="362"/>
      <c r="G23" s="362"/>
      <c r="H23" s="362"/>
      <c r="I23" s="364"/>
      <c r="J23" s="318">
        <v>84471576</v>
      </c>
      <c r="K23" s="362"/>
      <c r="L23" s="362"/>
      <c r="M23" s="362"/>
      <c r="N23" s="362"/>
      <c r="O23" s="364"/>
      <c r="P23" s="318">
        <v>621095961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148386639</v>
      </c>
      <c r="AT23" s="321">
        <v>29990706</v>
      </c>
      <c r="AU23" s="321"/>
      <c r="AV23" s="368"/>
      <c r="AW23" s="374"/>
    </row>
    <row r="24" spans="2:49" ht="28.5" customHeight="1" x14ac:dyDescent="0.2">
      <c r="B24" s="345" t="s">
        <v>114</v>
      </c>
      <c r="C24" s="331"/>
      <c r="D24" s="365"/>
      <c r="E24" s="319">
        <v>162414975</v>
      </c>
      <c r="F24" s="319"/>
      <c r="G24" s="319"/>
      <c r="H24" s="319"/>
      <c r="I24" s="318">
        <v>160753575.19309959</v>
      </c>
      <c r="J24" s="365"/>
      <c r="K24" s="319">
        <v>84471576</v>
      </c>
      <c r="L24" s="319"/>
      <c r="M24" s="319"/>
      <c r="N24" s="319"/>
      <c r="O24" s="318"/>
      <c r="P24" s="365"/>
      <c r="Q24" s="319">
        <v>621095961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2635962</v>
      </c>
      <c r="E26" s="362"/>
      <c r="F26" s="362"/>
      <c r="G26" s="362"/>
      <c r="H26" s="362"/>
      <c r="I26" s="364"/>
      <c r="J26" s="318">
        <v>1201513</v>
      </c>
      <c r="K26" s="362"/>
      <c r="L26" s="362"/>
      <c r="M26" s="362"/>
      <c r="N26" s="362"/>
      <c r="O26" s="364"/>
      <c r="P26" s="318">
        <v>8502758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523764</v>
      </c>
      <c r="AT26" s="321">
        <v>105931</v>
      </c>
      <c r="AU26" s="321"/>
      <c r="AV26" s="368"/>
      <c r="AW26" s="374"/>
    </row>
    <row r="27" spans="2:49" s="5" customFormat="1" ht="25.5" x14ac:dyDescent="0.2">
      <c r="B27" s="345" t="s">
        <v>85</v>
      </c>
      <c r="C27" s="331"/>
      <c r="D27" s="365"/>
      <c r="E27" s="319">
        <v>2635962</v>
      </c>
      <c r="F27" s="319"/>
      <c r="G27" s="319"/>
      <c r="H27" s="319"/>
      <c r="I27" s="318">
        <v>1680157</v>
      </c>
      <c r="J27" s="365"/>
      <c r="K27" s="319">
        <v>0</v>
      </c>
      <c r="L27" s="319"/>
      <c r="M27" s="319"/>
      <c r="N27" s="319"/>
      <c r="O27" s="318"/>
      <c r="P27" s="365"/>
      <c r="Q27" s="319">
        <v>8502758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868169</v>
      </c>
      <c r="E28" s="363"/>
      <c r="F28" s="363"/>
      <c r="G28" s="363"/>
      <c r="H28" s="363"/>
      <c r="I28" s="365"/>
      <c r="J28" s="318">
        <v>565150</v>
      </c>
      <c r="K28" s="363"/>
      <c r="L28" s="363"/>
      <c r="M28" s="363"/>
      <c r="N28" s="363"/>
      <c r="O28" s="365"/>
      <c r="P28" s="318">
        <v>3639100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-388935</v>
      </c>
      <c r="AT28" s="321">
        <v>-98980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-1981438</v>
      </c>
      <c r="E45" s="319">
        <v>-1981438</v>
      </c>
      <c r="F45" s="319"/>
      <c r="G45" s="319"/>
      <c r="H45" s="319"/>
      <c r="I45" s="318"/>
      <c r="J45" s="318">
        <v>-448155</v>
      </c>
      <c r="K45" s="319"/>
      <c r="L45" s="319"/>
      <c r="M45" s="319"/>
      <c r="N45" s="319"/>
      <c r="O45" s="318"/>
      <c r="P45" s="318">
        <v>-2932138</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-2769511</v>
      </c>
      <c r="E46" s="319">
        <v>-2769511</v>
      </c>
      <c r="F46" s="319"/>
      <c r="G46" s="319"/>
      <c r="H46" s="319"/>
      <c r="I46" s="318"/>
      <c r="J46" s="318">
        <v>-626399</v>
      </c>
      <c r="K46" s="319"/>
      <c r="L46" s="319"/>
      <c r="M46" s="319"/>
      <c r="N46" s="319"/>
      <c r="O46" s="318"/>
      <c r="P46" s="318">
        <v>-4098332</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-2197112</v>
      </c>
      <c r="E47" s="363"/>
      <c r="F47" s="363"/>
      <c r="G47" s="363"/>
      <c r="H47" s="363"/>
      <c r="I47" s="365"/>
      <c r="J47" s="318">
        <v>-568642</v>
      </c>
      <c r="K47" s="363"/>
      <c r="L47" s="363"/>
      <c r="M47" s="363"/>
      <c r="N47" s="363"/>
      <c r="O47" s="365"/>
      <c r="P47" s="318">
        <v>-4205864</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161628931</v>
      </c>
      <c r="E54" s="323">
        <v>160299988</v>
      </c>
      <c r="F54" s="323">
        <v>0</v>
      </c>
      <c r="G54" s="323">
        <v>0</v>
      </c>
      <c r="H54" s="323">
        <v>0</v>
      </c>
      <c r="I54" s="322">
        <v>162433732.19309959</v>
      </c>
      <c r="J54" s="322">
        <v>84602027</v>
      </c>
      <c r="K54" s="323">
        <v>84471576</v>
      </c>
      <c r="L54" s="323">
        <v>0</v>
      </c>
      <c r="M54" s="323">
        <v>0</v>
      </c>
      <c r="N54" s="323">
        <v>0</v>
      </c>
      <c r="O54" s="322">
        <v>0</v>
      </c>
      <c r="P54" s="322">
        <v>623135013</v>
      </c>
      <c r="Q54" s="323">
        <v>629598719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149299338</v>
      </c>
      <c r="AT54" s="324">
        <v>30195617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v>19756193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266" yWindow="52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0" sqref="F4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43658131</v>
      </c>
      <c r="D5" s="403">
        <v>117577730</v>
      </c>
      <c r="E5" s="454"/>
      <c r="F5" s="454"/>
      <c r="G5" s="448"/>
      <c r="H5" s="402">
        <v>104194554</v>
      </c>
      <c r="I5" s="403">
        <v>89001483</v>
      </c>
      <c r="J5" s="454"/>
      <c r="K5" s="454"/>
      <c r="L5" s="448"/>
      <c r="M5" s="402">
        <v>670397500</v>
      </c>
      <c r="N5" s="403">
        <v>634024013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43658131</v>
      </c>
      <c r="D6" s="398">
        <v>117577730</v>
      </c>
      <c r="E6" s="400">
        <v>160299988</v>
      </c>
      <c r="F6" s="400">
        <v>321535849</v>
      </c>
      <c r="G6" s="401">
        <v>162433732.19309959</v>
      </c>
      <c r="H6" s="397">
        <v>104194554</v>
      </c>
      <c r="I6" s="398">
        <v>89001483</v>
      </c>
      <c r="J6" s="400">
        <v>84471576</v>
      </c>
      <c r="K6" s="400">
        <v>277667613</v>
      </c>
      <c r="L6" s="401">
        <v>0</v>
      </c>
      <c r="M6" s="397">
        <v>670397500</v>
      </c>
      <c r="N6" s="398">
        <v>634024013</v>
      </c>
      <c r="O6" s="400">
        <v>629598719</v>
      </c>
      <c r="P6" s="400">
        <v>1934020232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239131</v>
      </c>
      <c r="D7" s="398">
        <v>547651</v>
      </c>
      <c r="E7" s="400">
        <v>954585</v>
      </c>
      <c r="F7" s="400">
        <v>1741367</v>
      </c>
      <c r="G7" s="401">
        <v>749407.62899027276</v>
      </c>
      <c r="H7" s="397">
        <v>559555</v>
      </c>
      <c r="I7" s="398">
        <v>407954</v>
      </c>
      <c r="J7" s="400">
        <v>518820</v>
      </c>
      <c r="K7" s="400">
        <v>1486329</v>
      </c>
      <c r="L7" s="401">
        <v>0</v>
      </c>
      <c r="M7" s="397">
        <v>3738914</v>
      </c>
      <c r="N7" s="398">
        <v>2862548</v>
      </c>
      <c r="O7" s="400">
        <v>3689683</v>
      </c>
      <c r="P7" s="400">
        <v>10291145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19756193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18748097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-10372088</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12515152.85204383</v>
      </c>
      <c r="E11" s="400">
        <v>23637829.402248017</v>
      </c>
      <c r="F11" s="400">
        <v>36152982.254291847</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43897262</v>
      </c>
      <c r="D12" s="400">
        <v>105610228.14795616</v>
      </c>
      <c r="E12" s="400">
        <v>137616743.59775198</v>
      </c>
      <c r="F12" s="400">
        <v>287124233.74570811</v>
      </c>
      <c r="G12" s="447"/>
      <c r="H12" s="399">
        <v>104754109</v>
      </c>
      <c r="I12" s="400">
        <v>89409437</v>
      </c>
      <c r="J12" s="400">
        <v>84990396</v>
      </c>
      <c r="K12" s="400">
        <v>279153942</v>
      </c>
      <c r="L12" s="447"/>
      <c r="M12" s="399">
        <v>674136414</v>
      </c>
      <c r="N12" s="400">
        <v>636886561</v>
      </c>
      <c r="O12" s="400">
        <v>633288402</v>
      </c>
      <c r="P12" s="400">
        <v>1944311377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45859268</v>
      </c>
      <c r="D15" s="403">
        <v>115893708</v>
      </c>
      <c r="E15" s="395">
        <v>158422503</v>
      </c>
      <c r="F15" s="395">
        <v>320175479</v>
      </c>
      <c r="G15" s="396">
        <v>124371357.5553087</v>
      </c>
      <c r="H15" s="402">
        <v>104847362</v>
      </c>
      <c r="I15" s="403">
        <v>106221496</v>
      </c>
      <c r="J15" s="395">
        <v>109015399</v>
      </c>
      <c r="K15" s="395">
        <v>320084257</v>
      </c>
      <c r="L15" s="396">
        <v>0</v>
      </c>
      <c r="M15" s="402">
        <v>735976283</v>
      </c>
      <c r="N15" s="403">
        <v>729100047</v>
      </c>
      <c r="O15" s="395">
        <v>745606820</v>
      </c>
      <c r="P15" s="395">
        <v>2210683150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-142925</v>
      </c>
      <c r="D16" s="398">
        <v>3433250.4600000004</v>
      </c>
      <c r="E16" s="400">
        <v>6231712.320208</v>
      </c>
      <c r="F16" s="400">
        <v>9522037.7802080009</v>
      </c>
      <c r="G16" s="401">
        <v>4891138.9156568265</v>
      </c>
      <c r="H16" s="397">
        <v>-326790</v>
      </c>
      <c r="I16" s="398">
        <v>3144633.4075414538</v>
      </c>
      <c r="J16" s="400">
        <v>4287795.3893220006</v>
      </c>
      <c r="K16" s="400">
        <v>7105638.7968634544</v>
      </c>
      <c r="L16" s="401">
        <v>0</v>
      </c>
      <c r="M16" s="397">
        <v>-2313470</v>
      </c>
      <c r="N16" s="398">
        <v>21585141</v>
      </c>
      <c r="O16" s="400">
        <v>29327481.964848004</v>
      </c>
      <c r="P16" s="400">
        <v>48599152.964848004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46002193</v>
      </c>
      <c r="D17" s="400">
        <v>112460457.54000001</v>
      </c>
      <c r="E17" s="400">
        <v>152190790.67979199</v>
      </c>
      <c r="F17" s="400">
        <v>310653441.21979201</v>
      </c>
      <c r="G17" s="450"/>
      <c r="H17" s="399">
        <v>105174152</v>
      </c>
      <c r="I17" s="400">
        <v>103076862.59245855</v>
      </c>
      <c r="J17" s="400">
        <v>104727603.610678</v>
      </c>
      <c r="K17" s="400">
        <v>312978618.20313656</v>
      </c>
      <c r="L17" s="450"/>
      <c r="M17" s="399">
        <v>738289753</v>
      </c>
      <c r="N17" s="400">
        <v>707514906</v>
      </c>
      <c r="O17" s="400">
        <v>716279338.03515196</v>
      </c>
      <c r="P17" s="400">
        <v>2162083997.035152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135328424.31208983</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19402015.412766062</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5974010.9319825945</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-35250221.08520402</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5974010.9319825945</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3584406.5591895562</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30267165.260405485</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30267165.260405485</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31176787.016380239</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94104192.294903219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27877560.887612447</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3584406.5591895562</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27877560.887612447</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28787182.643587206</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96493796.667696252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1.4024572458075375</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27304444.045474704</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23637829.402248017</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83">
        <v>2188</v>
      </c>
      <c r="D38" s="484">
        <v>38691.916666666664</v>
      </c>
      <c r="E38" s="485">
        <f>('[1]Pt 1 Summary of Data'!E$59+'[1]Pt 1 Summary of Data'!G$59-'[1]Pt 1 Summary of Data'!H$59)/12+IF(AND(OR('[1]Company Information'!$C$12="District of Columbia",'[1]Company Information'!$C$12="Massachusetts",'[1]Company Information'!$C$12="Vermont"),SUM($C$6:$F$11,$C$15:$F$16,$C$38:$D$38)&lt;&gt;0),'[1]Pt 1 Summary of Data'!K$59+'[1]Pt 1 Summary of Data'!M$59-'[1]Pt 1 Summary of Data'!N$59,0)/12</f>
        <v>4138.333333333333</v>
      </c>
      <c r="F38" s="485">
        <f>SUM(C$38:E$38)+IF(AND(OR('[1]Company Information'!$C$12="District of Columbia",'[1]Company Information'!$C$12="Massachusetts",'[1]Company Information'!$C$12="Vermont"),SUM($C$6:$F$11,$C$15:$F$16,$C$38:$D$38)&lt;&gt;0,SUM(C$38:D$38)&lt;&gt;SUM(H$38:I$38)),SUM(H$38:I$38),0)</f>
        <v>45018.25</v>
      </c>
      <c r="G38" s="448"/>
      <c r="H38" s="483">
        <v>23405</v>
      </c>
      <c r="I38" s="484">
        <v>18857.416666666668</v>
      </c>
      <c r="J38" s="485">
        <f>('[1]Pt 1 Summary of Data'!K$59+'[1]Pt 1 Summary of Data'!M$59-'[1]Pt 1 Summary of Data'!N$59)/12+IF(AND(OR('[1]Company Information'!$C$12="District of Columbia",'[1]Company Information'!$C$12="Massachusetts",'[1]Company Information'!$C$12="Vermont"),SUM($H$6:$K$11,$H$15:$K$16,$H$38:$I$38)&lt;&gt;0),'[1]Pt 1 Summary of Data'!E$59+'[1]Pt 1 Summary of Data'!G$59-'[1]Pt 1 Summary of Data'!H$59,0)/12</f>
        <v>21507.75</v>
      </c>
      <c r="K38" s="485">
        <f>SUM(H$38:J$38)+IF(AND(OR('[1]Company Information'!$C$12="District of Columbia",'[1]Company Information'!$C$12="Massachusetts",'[1]Company Information'!$C$12="Vermont"),SUM($H$6:$K$11,$H$15:$K$16,$H$38:$I$38)&lt;&gt;0,SUM(H$38:I$38)&lt;&gt;SUM(C$38:D$38)),SUM(C$38:D$38),0)</f>
        <v>63770.166666666672</v>
      </c>
      <c r="L38" s="448"/>
      <c r="M38" s="483">
        <v>144272</v>
      </c>
      <c r="N38" s="484">
        <v>138242.25</v>
      </c>
      <c r="O38" s="485">
        <f>('[1]Pt 1 Summary of Data'!Q$59+'[1]Pt 1 Summary of Data'!S$59-'[1]Pt 1 Summary of Data'!T$59)/12</f>
        <v>139918.83333333334</v>
      </c>
      <c r="P38" s="485">
        <f>SUM(M$38:O$38)</f>
        <v>422433.08333333337</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86">
        <f ca="1">IF(OR(F$38&lt;1000,F$38&gt;=75000,AND(C$38&gt;=1000,D$38&gt;=1000,E$38&gt;=1000,C$45&lt;C$50,D$45&lt;D$50,E$45&lt;E$50)),0,VLOOKUP(F$38,'[2]Reference Tables'!$A$4:$B$11,2)+((F$38-VLOOKUP(F$38,'[2]Reference Tables'!$A$4:$B$11,1))*(OFFSET(INDEX('[2]Reference Tables'!$A$4:$A$11,MATCH(F$38,'[2]Reference Tables'!$A$4:$A$11)),1,1)-VLOOKUP(F$38,'[2]Reference Tables'!$A$4:$B$11,2))/(OFFSET(INDEX('[2]Reference Tables'!$A$4:$A$11,MATCH(F$38,'[2]Reference Tables'!$A$4:$A$11)),1,0)-VLOOKUP(F$38,'[2]Reference Tables'!$A$4:$B$11,1))))</f>
        <v>1.2797080000000001E-2</v>
      </c>
      <c r="G39" s="461"/>
      <c r="H39" s="459"/>
      <c r="I39" s="460"/>
      <c r="J39" s="460"/>
      <c r="K39" s="497">
        <f ca="1">IF(OR(K$38&lt;1000,K$38&gt;=75000,AND(H$38&gt;=1000,I$38&gt;=1000,J$38&gt;=1000,H$45&lt;H$50,I$45&lt;I$50,J$45&lt;J$50)),0,VLOOKUP(K$38,'[2]Reference Tables'!$A$4:$B$11,2)+((K$38-VLOOKUP(K$38,'[2]Reference Tables'!$A$4:$B$11,1))*(OFFSET(INDEX('[2]Reference Tables'!$A$4:$A$11,MATCH(K$38,'[2]Reference Tables'!$A$4:$A$11)),1,1)-VLOOKUP(K$38,'[2]Reference Tables'!$A$4:$B$11,2))/(OFFSET(INDEX('[2]Reference Tables'!$A$4:$A$11,MATCH(K$38,'[2]Reference Tables'!$A$4:$A$11)),1,0)-VLOOKUP(K$38,'[2]Reference Tables'!$A$4:$B$11,1))))</f>
        <v>5.3903199999999971E-3</v>
      </c>
      <c r="L39" s="461"/>
      <c r="M39" s="459"/>
      <c r="N39" s="460"/>
      <c r="O39" s="460"/>
      <c r="P39" s="497">
        <f ca="1">IF(OR(P$38&lt;1000,P$38&gt;=75000,AND(M$38&gt;=1000,N$38&gt;=1000,O$38&gt;=1000,M$45&lt;M$50,N$45&lt;N$50,O$45&lt;O$50)),0,VLOOKUP(P$38,'[1]Reference Tables'!$A$4:$B$11,2)+((P$38-VLOOKUP(P$38,'[1]Reference Tables'!$A$4:$B$11,1))*(OFFSET(INDEX('[1]Reference Tables'!$A$4:$A$11,MATCH(P$38,'[1]Reference Tables'!$A$4:$A$11)),1,1)-VLOOKUP(P$38,'[1]Reference Tables'!$A$4:$B$11,2))/(OFFSET(INDEX('[1]Reference Tables'!$A$4:$A$11,MATCH(P$38,'[1]Reference Tables'!$A$4:$A$11)),1,0)-VLOOKUP(P$38,'[1]Reference Tables'!$A$4:$B$11,1))))</f>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498"/>
      <c r="L40" s="447"/>
      <c r="M40" s="443"/>
      <c r="N40" s="441"/>
      <c r="O40" s="441"/>
      <c r="P40" s="4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87">
        <f ca="1">IF(F$40&lt;2500,1,(MIN(VLOOKUP(F$40,'[1]Reference Tables'!$A$17:$B$20,2)+((F$40-VLOOKUP(F$40,'[1]Reference Tables'!$A$17:$B$20,1))*(OFFSET(INDEX('[1]Reference Tables'!$A$17:$A$20,MATCH(F$40,'[1]Reference Tables'!$A$17:$A$20)),1,1)-VLOOKUP(F$40,'[1]Reference Tables'!$A$17:$B$20,2))/(OFFSET(INDEX('[1]Reference Tables'!$A$17:$A$20,MATCH(F$40,'[1]Reference Tables'!$A$17:$A$20)),1,0)-VLOOKUP(F$40,'[1]Reference Tables'!$A$17:$B$20,1))),1.736)))</f>
        <v>1</v>
      </c>
      <c r="G41" s="447"/>
      <c r="H41" s="443"/>
      <c r="I41" s="441"/>
      <c r="J41" s="441"/>
      <c r="K41" s="487">
        <f ca="1">IF(K$40&lt;2500,1,(MIN(VLOOKUP(K$40,'[1]Reference Tables'!$A$17:$B$20,2)+((K$40-VLOOKUP(K$40,'[1]Reference Tables'!$A$17:$B$20,1))*(OFFSET(INDEX('[1]Reference Tables'!$A$17:$A$20,MATCH(K$40,'[1]Reference Tables'!$A$17:$A$20)),1,1)-VLOOKUP(K$40,'[1]Reference Tables'!$A$17:$B$20,2))/(OFFSET(INDEX('[1]Reference Tables'!$A$17:$A$20,MATCH(K$40,'[1]Reference Tables'!$A$17:$A$20)),1,0)-VLOOKUP(K$40,'[1]Reference Tables'!$A$17:$B$20,1))),1.736)))</f>
        <v>1</v>
      </c>
      <c r="L41" s="447"/>
      <c r="M41" s="443"/>
      <c r="N41" s="441"/>
      <c r="O41" s="441"/>
      <c r="P41" s="487">
        <f ca="1">IF(P$40&lt;2500,1,(MIN(VLOOKUP(P$40,'[1]Reference Tables'!$A$17:$B$20,2)+((P$40-VLOOKUP(P$40,'[1]Reference Tables'!$A$17:$B$20,1))*(OFFSET(INDEX('[1]Reference Tables'!$A$17:$A$20,MATCH(P$40,'[1]Reference Tables'!$A$17:$A$20)),1,1)-VLOOKUP(P$40,'[1]Reference Tables'!$A$17:$B$20,2))/(OFFSET(INDEX('[1]Reference Tables'!$A$17:$A$20,MATCH(P$40,'[1]Reference Tables'!$A$17:$A$20)),1,0)-VLOOKUP(P$40,'[1]Reference Tables'!$A$17:$B$20,1))),1.736)))</f>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88">
        <f ca="1">IF(OR(F$38&lt;1000,F$38&gt;=75000),0,F$39*F$41)</f>
        <v>1.2797080000000001E-2</v>
      </c>
      <c r="G42" s="447"/>
      <c r="H42" s="443"/>
      <c r="I42" s="441"/>
      <c r="J42" s="441"/>
      <c r="K42" s="488">
        <f ca="1">IF(OR(K$38&lt;1000,K$38&gt;=75000),0,K$39*K$41)</f>
        <v>5.3903199999999971E-3</v>
      </c>
      <c r="L42" s="447"/>
      <c r="M42" s="443"/>
      <c r="N42" s="441"/>
      <c r="O42" s="441"/>
      <c r="P42" s="488">
        <f>IF(OR(P$38&lt;1000,P$38&gt;=75000),0,P$39*P$41)</f>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89">
        <f>IF(OR(C$38&lt;1000,C$17&lt;=0),"",C$12/C$17)</f>
        <v>0.95424281185899118</v>
      </c>
      <c r="D45" s="488">
        <f>IF(OR(D$38&lt;1000,D$17&lt;=0),"",D$12/D$17)</f>
        <v>0.93908766208240479</v>
      </c>
      <c r="E45" s="488">
        <f>IF(OR(E$38&lt;1000,E$17&lt;=0),"",E$12/E$17)</f>
        <v>0.90423831154998291</v>
      </c>
      <c r="F45" s="488">
        <f>IF(OR(F$38&lt;1000,F$17&lt;=0),"",F$12/F$17)</f>
        <v>0.92425898331692191</v>
      </c>
      <c r="G45" s="447"/>
      <c r="H45" s="489">
        <f>IF(OR(H$38&lt;1000,H$17&lt;=0),"",H$12/H$17)</f>
        <v>0.99600621453073379</v>
      </c>
      <c r="I45" s="488">
        <f>IF(OR(I$38&lt;1000,I$17&lt;=0),"",I$12/I$17)</f>
        <v>0.86740549480540263</v>
      </c>
      <c r="J45" s="488">
        <f>IF(OR(J$38&lt;1000,J$17&lt;=0),"",J$12/J$17)</f>
        <v>0.81153767554874523</v>
      </c>
      <c r="K45" s="488">
        <f>IF(OR(K$38&lt;1000,K$17&lt;=0),"",K$12/K$17)</f>
        <v>0.89192655908148044</v>
      </c>
      <c r="L45" s="447"/>
      <c r="M45" s="489">
        <f>IF(OR(M$38&lt;1000,M$17&lt;=0),"",M$12/M$17)</f>
        <v>0.91310547283188426</v>
      </c>
      <c r="N45" s="488">
        <f>IF(OR(N$38&lt;1000,N$17&lt;=0),"",N$12/N$17)</f>
        <v>0.90017405371809933</v>
      </c>
      <c r="O45" s="488">
        <f>IF(OR(O$38&lt;1000,O$17&lt;=0),"",O$12/O$17)</f>
        <v>0.88413607425448437</v>
      </c>
      <c r="P45" s="488">
        <f>IF(OR(P$38&lt;1000,P$17&lt;=0),"",P$12/P$17)</f>
        <v>0.89927652194189411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88">
        <f ca="1">IF(F$45="","",F$42)</f>
        <v>1.2797080000000001E-2</v>
      </c>
      <c r="G47" s="447"/>
      <c r="H47" s="443"/>
      <c r="I47" s="441"/>
      <c r="J47" s="441"/>
      <c r="K47" s="488">
        <f ca="1">IF(K$45="","",K$42)</f>
        <v>5.3903199999999971E-3</v>
      </c>
      <c r="L47" s="447"/>
      <c r="M47" s="443"/>
      <c r="N47" s="441"/>
      <c r="O47" s="441"/>
      <c r="P47" s="488">
        <f>IF(P$45="","",P$42)</f>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88">
        <f ca="1">IF(F$45="","",ROUND(F$45+MAX(0,F$47),3))</f>
        <v>0.93700000000000006</v>
      </c>
      <c r="G48" s="447"/>
      <c r="H48" s="443"/>
      <c r="I48" s="441"/>
      <c r="J48" s="441"/>
      <c r="K48" s="488">
        <f ca="1">IF(K$45="","",ROUND(K$45+MAX(0,K$47),3))</f>
        <v>0.89700000000000002</v>
      </c>
      <c r="L48" s="447"/>
      <c r="M48" s="443"/>
      <c r="N48" s="441"/>
      <c r="O48" s="441"/>
      <c r="P48" s="488">
        <f>IF(P$45="","",ROUND(P$45+MAX(0,P$47),3))</f>
        <v>0.89900000000000002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90">
        <v>0.8</v>
      </c>
      <c r="D50" s="491">
        <v>0.8</v>
      </c>
      <c r="E50" s="491">
        <v>0.8</v>
      </c>
      <c r="F50" s="491">
        <v>0.8</v>
      </c>
      <c r="G50" s="448"/>
      <c r="H50" s="490">
        <v>0.8</v>
      </c>
      <c r="I50" s="491">
        <v>0.8</v>
      </c>
      <c r="J50" s="491">
        <v>0.8</v>
      </c>
      <c r="K50" s="491">
        <v>0.8</v>
      </c>
      <c r="L50" s="448"/>
      <c r="M50" s="499">
        <v>0.85</v>
      </c>
      <c r="N50" s="500">
        <v>0.85</v>
      </c>
      <c r="O50" s="500">
        <v>0.85</v>
      </c>
      <c r="P50" s="500">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92">
        <f ca="1">F$48</f>
        <v>0.93700000000000006</v>
      </c>
      <c r="G51" s="447"/>
      <c r="H51" s="444"/>
      <c r="I51" s="442"/>
      <c r="J51" s="442"/>
      <c r="K51" s="492">
        <f ca="1">K$48</f>
        <v>0.89700000000000002</v>
      </c>
      <c r="L51" s="447"/>
      <c r="M51" s="444"/>
      <c r="N51" s="442"/>
      <c r="O51" s="442"/>
      <c r="P51" s="492">
        <f>P$48</f>
        <v>0.89900000000000002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93">
        <f>IF(F$38&lt;1000,"",MAX(0,E$15-E$16))</f>
        <v>152190790.67979199</v>
      </c>
      <c r="G52" s="447"/>
      <c r="H52" s="443"/>
      <c r="I52" s="441"/>
      <c r="J52" s="441"/>
      <c r="K52" s="493">
        <f>IF(K$38&lt;1000,"",MAX(0,J$15-J$16))</f>
        <v>104727603.610678</v>
      </c>
      <c r="L52" s="447"/>
      <c r="M52" s="443"/>
      <c r="N52" s="441"/>
      <c r="O52" s="441"/>
      <c r="P52" s="493">
        <f>IF(P$38&lt;1000,"",MAX(0,O$15-O$16))</f>
        <v>716279338.03515196</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94">
        <f ca="1">IF(OR(F$38&lt;1000,F$17&lt;=0),0,MAX(0,F$50-F$51)*F$52)</f>
        <v>0</v>
      </c>
      <c r="G53" s="447"/>
      <c r="H53" s="443"/>
      <c r="I53" s="441"/>
      <c r="J53" s="441"/>
      <c r="K53" s="494">
        <f ca="1">IF(OR(K$38&lt;1000,K$17&lt;=0),0,MAX(0,K$50-K$51)*K$52)</f>
        <v>0</v>
      </c>
      <c r="L53" s="447"/>
      <c r="M53" s="443"/>
      <c r="N53" s="441"/>
      <c r="O53" s="441"/>
      <c r="P53" s="494">
        <f>IF(OR(P$38&lt;1000,P$17&lt;=0),0,MAX(0,P$50-P$51)*P$52)</f>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95">
        <f>G60-G59</f>
        <v>277486.48999997973</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496">
        <v>110330047.20237814</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496">
        <v>110607533.69237812</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15:C16">
    <cfRule type="cellIs" dxfId="58" priority="68" stopIfTrue="1" operator="lessThan">
      <formula>0</formula>
    </cfRule>
  </conditionalFormatting>
  <conditionalFormatting sqref="C5:C7">
    <cfRule type="cellIs" dxfId="57" priority="69" stopIfTrue="1" operator="lessThan">
      <formula>0</formula>
    </cfRule>
  </conditionalFormatting>
  <conditionalFormatting sqref="H15:H16">
    <cfRule type="cellIs" dxfId="56" priority="52" stopIfTrue="1" operator="lessThan">
      <formula>0</formula>
    </cfRule>
  </conditionalFormatting>
  <conditionalFormatting sqref="Q38">
    <cfRule type="cellIs" dxfId="55" priority="42" stopIfTrue="1" operator="lessThan">
      <formula>0</formula>
    </cfRule>
  </conditionalFormatting>
  <conditionalFormatting sqref="Q50:T50">
    <cfRule type="cellIs" dxfId="54" priority="41" stopIfTrue="1" operator="lessThan">
      <formula>0</formula>
    </cfRule>
  </conditionalFormatting>
  <conditionalFormatting sqref="M5:M7">
    <cfRule type="cellIs" dxfId="53" priority="48" stopIfTrue="1" operator="lessThan">
      <formula>0</formula>
    </cfRule>
  </conditionalFormatting>
  <conditionalFormatting sqref="H5:H7">
    <cfRule type="cellIs" dxfId="52" priority="53" stopIfTrue="1" operator="lessThan">
      <formula>0</formula>
    </cfRule>
  </conditionalFormatting>
  <conditionalFormatting sqref="M15:M16">
    <cfRule type="cellIs" dxfId="51" priority="47" stopIfTrue="1" operator="lessThan">
      <formula>0</formula>
    </cfRule>
  </conditionalFormatting>
  <conditionalFormatting sqref="Q5:Q7">
    <cfRule type="cellIs" dxfId="50" priority="44" stopIfTrue="1" operator="lessThan">
      <formula>0</formula>
    </cfRule>
  </conditionalFormatting>
  <conditionalFormatting sqref="Q15:Q16">
    <cfRule type="cellIs" dxfId="49" priority="43" stopIfTrue="1" operator="lessThan">
      <formula>0</formula>
    </cfRule>
  </conditionalFormatting>
  <conditionalFormatting sqref="U5:U7">
    <cfRule type="cellIs" dxfId="48" priority="40" stopIfTrue="1" operator="lessThan">
      <formula>0</formula>
    </cfRule>
  </conditionalFormatting>
  <conditionalFormatting sqref="U15:U16">
    <cfRule type="cellIs" dxfId="47" priority="39" stopIfTrue="1" operator="lessThan">
      <formula>0</formula>
    </cfRule>
  </conditionalFormatting>
  <conditionalFormatting sqref="U38">
    <cfRule type="cellIs" dxfId="46" priority="38" stopIfTrue="1" operator="lessThan">
      <formula>0</formula>
    </cfRule>
  </conditionalFormatting>
  <conditionalFormatting sqref="U50:X50">
    <cfRule type="cellIs" dxfId="45" priority="37" stopIfTrue="1" operator="lessThan">
      <formula>0</formula>
    </cfRule>
  </conditionalFormatting>
  <conditionalFormatting sqref="Y5:Y7">
    <cfRule type="cellIs" dxfId="44" priority="36" stopIfTrue="1" operator="lessThan">
      <formula>0</formula>
    </cfRule>
  </conditionalFormatting>
  <conditionalFormatting sqref="Y15:Y16">
    <cfRule type="cellIs" dxfId="43" priority="35" stopIfTrue="1" operator="lessThan">
      <formula>0</formula>
    </cfRule>
  </conditionalFormatting>
  <conditionalFormatting sqref="Y38">
    <cfRule type="cellIs" dxfId="42" priority="34" stopIfTrue="1" operator="lessThan">
      <formula>0</formula>
    </cfRule>
  </conditionalFormatting>
  <conditionalFormatting sqref="Y50:AB50">
    <cfRule type="cellIs" dxfId="41" priority="33" stopIfTrue="1" operator="lessThan">
      <formula>0</formula>
    </cfRule>
  </conditionalFormatting>
  <conditionalFormatting sqref="AL50:AN50">
    <cfRule type="cellIs" dxfId="40" priority="29" stopIfTrue="1" operator="lessThan">
      <formula>0</formula>
    </cfRule>
  </conditionalFormatting>
  <conditionalFormatting sqref="G35">
    <cfRule type="cellIs" dxfId="39" priority="28" stopIfTrue="1" operator="lessThan">
      <formula>0</formula>
    </cfRule>
  </conditionalFormatting>
  <conditionalFormatting sqref="G36">
    <cfRule type="cellIs" dxfId="38" priority="27" stopIfTrue="1" operator="lessThan">
      <formula>0</formula>
    </cfRule>
  </conditionalFormatting>
  <conditionalFormatting sqref="C56">
    <cfRule type="cellIs" dxfId="37" priority="26" stopIfTrue="1" operator="lessThan">
      <formula>0</formula>
    </cfRule>
  </conditionalFormatting>
  <conditionalFormatting sqref="C57">
    <cfRule type="cellIs" dxfId="36" priority="25" stopIfTrue="1" operator="lessThan">
      <formula>0</formula>
    </cfRule>
  </conditionalFormatting>
  <conditionalFormatting sqref="AK5:AK7">
    <cfRule type="cellIs" dxfId="35" priority="24" stopIfTrue="1" operator="lessThan">
      <formula>0</formula>
    </cfRule>
  </conditionalFormatting>
  <conditionalFormatting sqref="AK15:AK16">
    <cfRule type="cellIs" dxfId="34" priority="23" stopIfTrue="1" operator="lessThan">
      <formula>0</formula>
    </cfRule>
  </conditionalFormatting>
  <conditionalFormatting sqref="AK38">
    <cfRule type="cellIs" dxfId="33" priority="22" stopIfTrue="1" operator="lessThan">
      <formula>0</formula>
    </cfRule>
  </conditionalFormatting>
  <conditionalFormatting sqref="AK50">
    <cfRule type="cellIs" dxfId="32" priority="21" stopIfTrue="1" operator="lessThan">
      <formula>0</formula>
    </cfRule>
  </conditionalFormatting>
  <conditionalFormatting sqref="H56">
    <cfRule type="cellIs" dxfId="31" priority="20" stopIfTrue="1" operator="lessThan">
      <formula>0</formula>
    </cfRule>
  </conditionalFormatting>
  <conditionalFormatting sqref="H57">
    <cfRule type="cellIs" dxfId="30" priority="19" stopIfTrue="1" operator="lessThan">
      <formula>0</formula>
    </cfRule>
  </conditionalFormatting>
  <conditionalFormatting sqref="M56">
    <cfRule type="cellIs" dxfId="29" priority="18" stopIfTrue="1" operator="lessThan">
      <formula>0</formula>
    </cfRule>
  </conditionalFormatting>
  <conditionalFormatting sqref="M57">
    <cfRule type="cellIs" dxfId="28" priority="17" stopIfTrue="1" operator="lessThan">
      <formula>0</formula>
    </cfRule>
  </conditionalFormatting>
  <conditionalFormatting sqref="Q56">
    <cfRule type="cellIs" dxfId="27" priority="16" stopIfTrue="1" operator="lessThan">
      <formula>0</formula>
    </cfRule>
  </conditionalFormatting>
  <conditionalFormatting sqref="Q57">
    <cfRule type="cellIs" dxfId="26" priority="15" stopIfTrue="1" operator="lessThan">
      <formula>0</formula>
    </cfRule>
  </conditionalFormatting>
  <conditionalFormatting sqref="U56">
    <cfRule type="cellIs" dxfId="25" priority="14" stopIfTrue="1" operator="lessThan">
      <formula>0</formula>
    </cfRule>
  </conditionalFormatting>
  <conditionalFormatting sqref="U57">
    <cfRule type="cellIs" dxfId="24" priority="13" stopIfTrue="1" operator="lessThan">
      <formula>0</formula>
    </cfRule>
  </conditionalFormatting>
  <conditionalFormatting sqref="Y56">
    <cfRule type="cellIs" dxfId="23" priority="12" stopIfTrue="1" operator="lessThan">
      <formula>0</formula>
    </cfRule>
  </conditionalFormatting>
  <conditionalFormatting sqref="Y57">
    <cfRule type="cellIs" dxfId="22" priority="11" stopIfTrue="1" operator="lessThan">
      <formula>0</formula>
    </cfRule>
  </conditionalFormatting>
  <conditionalFormatting sqref="AK56">
    <cfRule type="cellIs" dxfId="21" priority="10" stopIfTrue="1" operator="lessThan">
      <formula>0</formula>
    </cfRule>
  </conditionalFormatting>
  <conditionalFormatting sqref="AK57">
    <cfRule type="cellIs" dxfId="20" priority="9" stopIfTrue="1" operator="lessThan">
      <formula>0</formula>
    </cfRule>
  </conditionalFormatting>
  <conditionalFormatting sqref="L35">
    <cfRule type="cellIs" dxfId="19" priority="8" stopIfTrue="1" operator="lessThan">
      <formula>0</formula>
    </cfRule>
  </conditionalFormatting>
  <conditionalFormatting sqref="L36">
    <cfRule type="cellIs" dxfId="18" priority="7" stopIfTrue="1" operator="lessThan">
      <formula>0</formula>
    </cfRule>
  </conditionalFormatting>
  <conditionalFormatting sqref="C38">
    <cfRule type="cellIs" dxfId="17" priority="6" stopIfTrue="1" operator="lessThan">
      <formula>0</formula>
    </cfRule>
  </conditionalFormatting>
  <conditionalFormatting sqref="C50:F50">
    <cfRule type="cellIs" dxfId="16" priority="5" stopIfTrue="1" operator="lessThan">
      <formula>0</formula>
    </cfRule>
  </conditionalFormatting>
  <conditionalFormatting sqref="H38">
    <cfRule type="cellIs" dxfId="15" priority="4" stopIfTrue="1" operator="lessThan">
      <formula>0</formula>
    </cfRule>
  </conditionalFormatting>
  <conditionalFormatting sqref="H50:K50">
    <cfRule type="cellIs" dxfId="14" priority="3" stopIfTrue="1" operator="lessThan">
      <formula>0</formula>
    </cfRule>
  </conditionalFormatting>
  <conditionalFormatting sqref="M38">
    <cfRule type="cellIs" dxfId="13" priority="2" stopIfTrue="1" operator="lessThan">
      <formula>0</formula>
    </cfRule>
  </conditionalFormatting>
  <conditionalFormatting sqref="M50:P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501"/>
      <c r="D23" s="502"/>
      <c r="E23" s="502"/>
      <c r="F23" s="502"/>
      <c r="G23" s="502"/>
      <c r="H23" s="502"/>
      <c r="I23" s="502"/>
      <c r="J23" s="502"/>
      <c r="K23" s="503"/>
    </row>
    <row r="24" spans="2:12" s="5" customFormat="1" ht="100.15" customHeight="1" x14ac:dyDescent="0.2">
      <c r="B24" s="90" t="s">
        <v>213</v>
      </c>
      <c r="C24" s="504"/>
      <c r="D24" s="505"/>
      <c r="E24" s="505"/>
      <c r="F24" s="505"/>
      <c r="G24" s="505"/>
      <c r="H24" s="505"/>
      <c r="I24" s="505"/>
      <c r="J24" s="505"/>
      <c r="K24" s="50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Timmerman, Patrick</cp:lastModifiedBy>
  <cp:lastPrinted>2014-12-18T11:24:00Z</cp:lastPrinted>
  <dcterms:created xsi:type="dcterms:W3CDTF">2012-03-15T16:14:51Z</dcterms:created>
  <dcterms:modified xsi:type="dcterms:W3CDTF">2016-07-29T18:27:59Z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