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8" l="1"/>
  <c r="G36" i="10"/>
  <c r="AV60" i="4" l="1"/>
  <c r="Q60" i="4"/>
  <c r="P60" i="4"/>
  <c r="O60" i="4"/>
  <c r="O59" i="4"/>
  <c r="O58" i="4"/>
  <c r="O57" i="4"/>
  <c r="O56" i="4"/>
  <c r="K60" i="4"/>
  <c r="J60" i="4"/>
  <c r="L60" i="10" l="1"/>
  <c r="L59" i="10"/>
  <c r="L58" i="10"/>
  <c r="L33" i="10"/>
  <c r="AV56" i="18" l="1"/>
  <c r="P53" i="18" l="1"/>
  <c r="O55" i="18" l="1"/>
  <c r="E4" i="16" l="1"/>
  <c r="D4" i="16"/>
  <c r="P52" i="10"/>
  <c r="P38" i="10"/>
  <c r="O38" i="10"/>
  <c r="N38" i="10"/>
  <c r="M38" i="10"/>
  <c r="K52" i="10"/>
  <c r="F38" i="10"/>
  <c r="C38" i="10"/>
  <c r="K38" i="10"/>
  <c r="J38" i="10"/>
  <c r="I38" i="10"/>
  <c r="H38" i="10"/>
  <c r="L32" i="10"/>
  <c r="L31" i="10"/>
  <c r="L30" i="10"/>
  <c r="L29" i="10"/>
  <c r="L28" i="10"/>
  <c r="L27" i="10"/>
  <c r="L26" i="10"/>
  <c r="L25" i="10"/>
  <c r="L24" i="10"/>
  <c r="L23" i="10"/>
  <c r="L22" i="10"/>
  <c r="L21" i="10"/>
  <c r="L20" i="10"/>
  <c r="L19" i="10"/>
  <c r="G33" i="10"/>
  <c r="G32" i="10"/>
  <c r="G31" i="10"/>
  <c r="G30" i="10"/>
  <c r="G29" i="10"/>
  <c r="G28" i="10"/>
  <c r="G27" i="10"/>
  <c r="G26" i="10"/>
  <c r="G25" i="10"/>
  <c r="G24" i="10"/>
  <c r="G23" i="10"/>
  <c r="G22" i="10"/>
  <c r="G21" i="10"/>
  <c r="G20" i="10"/>
  <c r="P17" i="10"/>
  <c r="O17" i="10"/>
  <c r="N17" i="10"/>
  <c r="M17" i="10"/>
  <c r="K17" i="10"/>
  <c r="J17" i="10"/>
  <c r="I17" i="10"/>
  <c r="H17" i="10"/>
  <c r="F17" i="10"/>
  <c r="E17" i="10"/>
  <c r="D17" i="10"/>
  <c r="C17" i="10"/>
  <c r="P16" i="10"/>
  <c r="O16" i="10"/>
  <c r="N16" i="10"/>
  <c r="M16" i="10"/>
  <c r="L16" i="10"/>
  <c r="K16" i="10"/>
  <c r="J16" i="10"/>
  <c r="I16" i="10"/>
  <c r="H16" i="10"/>
  <c r="G16" i="10"/>
  <c r="F16" i="10"/>
  <c r="E16" i="10"/>
  <c r="D16" i="10"/>
  <c r="C16" i="10"/>
  <c r="P15" i="10"/>
  <c r="O15" i="10"/>
  <c r="N15" i="10"/>
  <c r="M15" i="10"/>
  <c r="L15" i="10"/>
  <c r="K15" i="10"/>
  <c r="J15" i="10"/>
  <c r="I15" i="10"/>
  <c r="H15" i="10"/>
  <c r="F15" i="10"/>
  <c r="D15" i="10"/>
  <c r="C15" i="10"/>
  <c r="P12" i="10"/>
  <c r="O12" i="10"/>
  <c r="N12" i="10"/>
  <c r="M12" i="10"/>
  <c r="K12" i="10"/>
  <c r="J12" i="10"/>
  <c r="I12" i="10"/>
  <c r="H12" i="10"/>
  <c r="F12" i="10"/>
  <c r="E12" i="10"/>
  <c r="D12" i="10"/>
  <c r="C12" i="10"/>
  <c r="P7" i="10"/>
  <c r="O7" i="10"/>
  <c r="N7" i="10"/>
  <c r="M7" i="10"/>
  <c r="L7" i="10"/>
  <c r="K7" i="10"/>
  <c r="J7" i="10"/>
  <c r="I7" i="10"/>
  <c r="H7" i="10"/>
  <c r="F7" i="10"/>
  <c r="C7" i="10"/>
  <c r="P6" i="10"/>
  <c r="O6" i="10"/>
  <c r="N6" i="10"/>
  <c r="M6" i="10"/>
  <c r="L6" i="10"/>
  <c r="K6" i="10"/>
  <c r="J6" i="10"/>
  <c r="I6" i="10"/>
  <c r="H6" i="10"/>
  <c r="F6" i="10"/>
  <c r="E6" i="10"/>
  <c r="D6" i="10"/>
  <c r="C6" i="10"/>
  <c r="N5" i="10"/>
  <c r="M5" i="10"/>
  <c r="I5" i="10"/>
  <c r="H5" i="10"/>
  <c r="D5" i="10"/>
  <c r="C5" i="10"/>
  <c r="AT54" i="18"/>
  <c r="AT23" i="18"/>
  <c r="Q57" i="18"/>
  <c r="P57" i="18"/>
  <c r="O57" i="18"/>
  <c r="Q56" i="18"/>
  <c r="P56" i="18"/>
  <c r="O56" i="18"/>
  <c r="Q55" i="18"/>
  <c r="P55" i="18"/>
  <c r="Q54" i="18"/>
  <c r="P54" i="18"/>
  <c r="O54" i="18"/>
  <c r="Q53" i="18"/>
  <c r="O53" i="18"/>
  <c r="P50" i="18"/>
  <c r="Q49" i="18"/>
  <c r="P49" i="18"/>
  <c r="O49" i="18"/>
  <c r="P47" i="18"/>
  <c r="Q46" i="18"/>
  <c r="P46" i="18"/>
  <c r="O46" i="18"/>
  <c r="Q45" i="18"/>
  <c r="P45" i="18"/>
  <c r="O45" i="18"/>
  <c r="P28" i="18"/>
  <c r="Q27" i="18"/>
  <c r="O27" i="18"/>
  <c r="P26" i="18"/>
  <c r="Q24" i="18"/>
  <c r="O24" i="18"/>
  <c r="P23" i="18"/>
  <c r="Q5" i="18"/>
  <c r="P5" i="18"/>
  <c r="O5" i="18"/>
  <c r="K57" i="18"/>
  <c r="J57" i="18"/>
  <c r="K56" i="18"/>
  <c r="J56" i="18"/>
  <c r="K55" i="18"/>
  <c r="J55" i="18"/>
  <c r="K54" i="18"/>
  <c r="J54" i="18"/>
  <c r="K53" i="18"/>
  <c r="J53" i="18"/>
  <c r="J50" i="18"/>
  <c r="K49" i="18"/>
  <c r="J49" i="18"/>
  <c r="J47" i="18"/>
  <c r="K46" i="18"/>
  <c r="J46" i="18"/>
  <c r="K45" i="18"/>
  <c r="J45" i="18"/>
  <c r="J28" i="18"/>
  <c r="K27" i="18"/>
  <c r="J26" i="18"/>
  <c r="K24" i="18"/>
  <c r="J23" i="18"/>
  <c r="J16" i="18"/>
  <c r="K5" i="18"/>
  <c r="J5" i="18"/>
  <c r="E54" i="18"/>
  <c r="D54" i="18"/>
  <c r="D47" i="18"/>
  <c r="E46" i="18"/>
  <c r="D28" i="18"/>
  <c r="D26" i="18"/>
  <c r="E24" i="18"/>
  <c r="D23" i="18"/>
  <c r="AW62" i="4"/>
  <c r="AW61" i="4"/>
  <c r="AV59" i="4"/>
  <c r="AV58" i="4"/>
  <c r="AV57" i="4"/>
  <c r="AV56" i="4"/>
  <c r="AV25" i="4"/>
  <c r="AT12" i="4"/>
  <c r="Q59" i="4"/>
  <c r="Q58" i="4"/>
  <c r="Q57" i="4"/>
  <c r="Q56" i="4"/>
  <c r="Q51" i="4"/>
  <c r="Q49" i="4"/>
  <c r="Q47" i="4"/>
  <c r="Q46" i="4"/>
  <c r="Q45" i="4"/>
  <c r="Q44" i="4"/>
  <c r="Q40" i="4"/>
  <c r="Q39" i="4"/>
  <c r="Q38" i="4"/>
  <c r="Q37" i="4"/>
  <c r="Q30" i="4"/>
  <c r="Q28" i="4"/>
  <c r="Q27" i="4"/>
  <c r="Q26" i="4"/>
  <c r="Q25" i="4"/>
  <c r="Q22" i="4"/>
  <c r="Q14" i="4"/>
  <c r="Q13" i="4"/>
  <c r="Q12" i="4"/>
  <c r="Q5" i="4"/>
  <c r="P59" i="4"/>
  <c r="P58" i="4"/>
  <c r="P57" i="4"/>
  <c r="P56" i="4"/>
  <c r="P51" i="4"/>
  <c r="O51" i="4"/>
  <c r="P49" i="4"/>
  <c r="O49" i="4"/>
  <c r="P47" i="4"/>
  <c r="O47" i="4"/>
  <c r="P46" i="4"/>
  <c r="O46" i="4"/>
  <c r="P45" i="4"/>
  <c r="O45" i="4"/>
  <c r="P44" i="4"/>
  <c r="O44" i="4"/>
  <c r="P40" i="4"/>
  <c r="O40" i="4"/>
  <c r="P39" i="4"/>
  <c r="O39" i="4"/>
  <c r="P38" i="4"/>
  <c r="O38" i="4"/>
  <c r="P37" i="4"/>
  <c r="O37" i="4"/>
  <c r="P30" i="4"/>
  <c r="O30" i="4"/>
  <c r="P28" i="4"/>
  <c r="O28" i="4"/>
  <c r="P27" i="4"/>
  <c r="O27" i="4"/>
  <c r="P26" i="4"/>
  <c r="O26" i="4"/>
  <c r="P25" i="4"/>
  <c r="O25" i="4"/>
  <c r="P22" i="4"/>
  <c r="O22" i="4"/>
  <c r="P14" i="4"/>
  <c r="P13" i="4"/>
  <c r="P12" i="4"/>
  <c r="O12" i="4"/>
  <c r="P5" i="4"/>
  <c r="O5" i="4"/>
  <c r="K59" i="4"/>
  <c r="J59" i="4"/>
  <c r="K58" i="4"/>
  <c r="J58" i="4"/>
  <c r="K57" i="4"/>
  <c r="J57" i="4"/>
  <c r="K56" i="4"/>
  <c r="J56" i="4"/>
  <c r="K51" i="4"/>
  <c r="J51" i="4"/>
  <c r="K49" i="4"/>
  <c r="J49" i="4"/>
  <c r="K47" i="4"/>
  <c r="J47" i="4"/>
  <c r="K46" i="4"/>
  <c r="J46" i="4"/>
  <c r="K45" i="4"/>
  <c r="J45" i="4"/>
  <c r="K44" i="4"/>
  <c r="J44" i="4"/>
  <c r="K40" i="4"/>
  <c r="J40" i="4"/>
  <c r="K39" i="4"/>
  <c r="J39" i="4"/>
  <c r="K38" i="4"/>
  <c r="J38" i="4"/>
  <c r="K37" i="4"/>
  <c r="J37" i="4"/>
  <c r="K30" i="4"/>
  <c r="J30" i="4"/>
  <c r="K28" i="4"/>
  <c r="J28" i="4"/>
  <c r="K27" i="4"/>
  <c r="J27" i="4"/>
  <c r="K26" i="4"/>
  <c r="J26" i="4"/>
  <c r="K25" i="4"/>
  <c r="J25" i="4"/>
  <c r="K22" i="4"/>
  <c r="J22" i="4"/>
  <c r="K14" i="4"/>
  <c r="K13" i="4"/>
  <c r="K12" i="4"/>
  <c r="J14" i="4"/>
  <c r="J13" i="4"/>
  <c r="J12" i="4"/>
  <c r="J8" i="4"/>
  <c r="K5" i="4"/>
  <c r="J5" i="4"/>
  <c r="I49" i="4"/>
  <c r="I30" i="4"/>
  <c r="I25" i="4"/>
  <c r="E49" i="4"/>
  <c r="D49" i="4"/>
  <c r="E30" i="4"/>
  <c r="D30" i="4"/>
  <c r="E25" i="4"/>
  <c r="D25" i="4"/>
  <c r="E14" i="4"/>
  <c r="D14" i="4"/>
  <c r="E13" i="4"/>
  <c r="D13" i="4"/>
  <c r="E12" i="4"/>
  <c r="D12" i="4"/>
  <c r="Q53" i="4"/>
  <c r="P53" i="4"/>
  <c r="K53" i="4"/>
  <c r="J53" i="4"/>
</calcChain>
</file>

<file path=xl/sharedStrings.xml><?xml version="1.0" encoding="utf-8"?>
<sst xmlns="http://schemas.openxmlformats.org/spreadsheetml/2006/main" count="681" uniqueCount="563">
  <si>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</si>
  <si>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</si>
  <si>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</si>
  <si>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</si>
  <si>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</si>
  <si>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</si>
  <si>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</si>
  <si>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</si>
  <si>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</si>
  <si>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</si>
  <si>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</si>
  <si>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</si>
  <si>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</si>
  <si>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</si>
  <si>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</si>
  <si>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</si>
  <si>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</si>
  <si>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</si>
  <si>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</si>
  <si>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</si>
  <si>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</si>
  <si>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</si>
  <si>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</si>
  <si>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</si>
  <si>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</si>
  <si>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</si>
  <si>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</si>
  <si>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</si>
  <si>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</si>
  <si>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</si>
  <si>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</si>
  <si>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</si>
  <si>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</si>
  <si>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</si>
  <si>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</si>
  <si>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</si>
  <si>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</si>
  <si>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</si>
  <si>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</si>
  <si>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</si>
  <si>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</si>
  <si>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</si>
  <si>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</si>
  <si>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</si>
  <si>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</si>
  <si>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</si>
  <si>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</si>
  <si>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</si>
  <si>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</si>
  <si>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</si>
  <si>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</si>
  <si>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</si>
  <si>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</si>
  <si>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</si>
  <si>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</si>
  <si>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</si>
  <si>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</si>
  <si>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</si>
  <si>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</si>
  <si>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</si>
  <si>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</si>
  <si>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</si>
  <si>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</si>
  <si>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</si>
  <si>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</si>
  <si>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</si>
  <si>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</si>
  <si>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</si>
  <si>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</si>
  <si>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</si>
  <si>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</si>
  <si>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</si>
  <si>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</si>
  <si>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</si>
  <si>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</si>
  <si>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</si>
  <si>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</si>
  <si>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</si>
  <si>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</si>
  <si>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</si>
  <si>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</si>
  <si>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</si>
  <si>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</si>
  <si>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</si>
  <si>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</si>
  <si>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</si>
  <si>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</si>
  <si>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</si>
  <si>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</si>
  <si>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</si>
  <si>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</si>
  <si>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</si>
  <si>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</si>
  <si>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</si>
  <si>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</si>
  <si>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</si>
  <si>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</si>
  <si>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</si>
  <si>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</si>
  <si>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</si>
  <si>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</si>
  <si>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</si>
  <si>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</si>
  <si>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</si>
  <si>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</si>
  <si>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</si>
  <si>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</si>
  <si>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</si>
  <si>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</si>
  <si>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</si>
  <si>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</si>
  <si>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</si>
  <si>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</si>
  <si>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</si>
  <si>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</si>
  <si>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</si>
  <si>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</si>
  <si>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</si>
  <si>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</si>
  <si>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</si>
  <si>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</si>
  <si>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</si>
  <si>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</si>
  <si>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</si>
  <si>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</si>
  <si>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</si>
  <si>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</si>
  <si>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</si>
  <si>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</si>
  <si>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</si>
  <si>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</si>
  <si>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</si>
  <si>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</si>
  <si>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</si>
  <si>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</si>
  <si>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</si>
  <si>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</si>
  <si>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</si>
  <si>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</si>
  <si>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</si>
  <si>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</si>
  <si>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</si>
  <si>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</si>
  <si>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</si>
  <si>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</si>
  <si>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</si>
  <si>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</si>
  <si>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</si>
  <si>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</si>
  <si>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</si>
  <si>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</si>
  <si>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</si>
  <si>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</si>
  <si>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</si>
  <si>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</si>
  <si>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</si>
  <si>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</si>
  <si>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</si>
  <si>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</si>
  <si>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</si>
  <si>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</si>
  <si>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</si>
  <si>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</si>
  <si>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</si>
  <si>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</si>
  <si>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</si>
  <si>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</si>
  <si>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</si>
  <si>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</si>
  <si>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</si>
  <si>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</si>
  <si>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</si>
  <si>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</si>
  <si>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</si>
  <si>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</si>
  <si>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</si>
  <si>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</si>
  <si>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</si>
  <si>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</si>
  <si>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</si>
  <si>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</si>
  <si>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</si>
  <si>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</si>
  <si>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</si>
  <si>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</si>
  <si>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</si>
  <si>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</si>
  <si>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</si>
  <si>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</si>
  <si>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</si>
  <si>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</si>
  <si>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</si>
  <si>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</si>
  <si>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</si>
  <si>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</si>
  <si>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</si>
  <si>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</si>
  <si>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</si>
  <si>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</si>
  <si>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</si>
  <si>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</si>
  <si>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</si>
  <si>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</si>
  <si>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</si>
  <si>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</si>
  <si>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</si>
  <si>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</si>
  <si>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</si>
  <si>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</si>
  <si>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</si>
  <si>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</si>
  <si>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</si>
  <si>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</si>
  <si>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</si>
  <si>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</si>
  <si>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</si>
  <si>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</si>
  <si>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</si>
  <si>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</si>
  <si>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</si>
  <si>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</si>
  <si>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</si>
  <si>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</si>
  <si>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</si>
  <si>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</si>
  <si>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</si>
  <si>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</si>
  <si>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</si>
  <si>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</si>
  <si>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</si>
  <si>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</si>
  <si>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</si>
  <si>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</si>
  <si>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</si>
  <si>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</si>
  <si>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</si>
  <si>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</si>
  <si>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</si>
  <si>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</si>
  <si>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</si>
  <si>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</si>
  <si>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</si>
  <si>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</si>
  <si>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</si>
  <si>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</si>
  <si>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</si>
  <si>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</si>
  <si>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</si>
  <si>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</si>
  <si>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</si>
  <si>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</si>
  <si>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</si>
  <si>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</si>
  <si>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</si>
  <si>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</si>
  <si>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</si>
  <si>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</si>
  <si>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</si>
  <si>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</si>
  <si>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</si>
  <si>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</si>
  <si>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</si>
  <si>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</si>
  <si>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</si>
  <si>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</si>
  <si>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</si>
  <si>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</si>
  <si>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</si>
  <si>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</si>
  <si>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</si>
  <si>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</si>
  <si>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</si>
  <si>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</si>
  <si>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</si>
  <si>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</si>
  <si>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</si>
  <si>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</si>
  <si>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</si>
  <si>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</si>
  <si>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</si>
  <si>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</si>
  <si>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</si>
  <si>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</si>
  <si>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</si>
  <si>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</si>
  <si>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</si>
  <si>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</si>
  <si>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</si>
  <si>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</si>
  <si>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</si>
  <si>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</si>
  <si>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</si>
  <si>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</si>
  <si>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</si>
  <si>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</si>
  <si>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</si>
  <si>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</si>
  <si>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</si>
  <si>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</si>
  <si>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</si>
  <si>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</si>
  <si>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</si>
  <si>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</si>
  <si>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</si>
  <si>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</si>
  <si>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</si>
  <si>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</si>
  <si>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</si>
  <si>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</si>
  <si>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</si>
  <si>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</si>
  <si>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</si>
  <si>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</si>
  <si>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</si>
  <si>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</si>
  <si>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</si>
  <si>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</si>
  <si>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</si>
  <si>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</si>
  <si>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</si>
  <si>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</si>
  <si>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</si>
  <si>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</si>
  <si>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</si>
  <si>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</si>
  <si>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</si>
  <si>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</si>
  <si>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</si>
  <si>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</si>
  <si>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</si>
  <si>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</si>
  <si>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</si>
  <si>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</si>
  <si>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</si>
  <si>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</si>
  <si>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</si>
  <si>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</si>
  <si>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</si>
  <si>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</si>
  <si>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</si>
  <si>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</si>
  <si>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</si>
  <si>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</si>
  <si>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</si>
  <si>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</si>
  <si>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</si>
  <si>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</si>
  <si>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</si>
  <si>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</si>
  <si>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</si>
  <si>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</si>
  <si>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</si>
  <si>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</si>
  <si>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</si>
  <si>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</si>
  <si>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</si>
  <si>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</si>
  <si>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</si>
  <si>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</si>
  <si>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</si>
  <si>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</si>
  <si>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</si>
  <si>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</si>
  <si>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</si>
  <si>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</si>
  <si>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</si>
  <si>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</si>
  <si>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</si>
  <si>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</si>
  <si>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</si>
  <si>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</si>
  <si>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</si>
  <si>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</si>
  <si>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</si>
  <si>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</si>
  <si>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</si>
  <si>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</si>
  <si>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</si>
  <si>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</si>
  <si>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</si>
  <si>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</si>
  <si>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</si>
  <si>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</si>
  <si>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</si>
  <si>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</si>
  <si>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</si>
  <si>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</si>
  <si>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</si>
  <si>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</si>
  <si>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</si>
  <si>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</si>
  <si>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</si>
  <si>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</si>
  <si>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</si>
  <si>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</si>
  <si>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</si>
  <si>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</si>
  <si>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</si>
  <si>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</si>
  <si>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</si>
  <si>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</si>
  <si>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</si>
  <si>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</si>
  <si>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</si>
  <si>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</si>
  <si>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</si>
  <si>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</si>
  <si>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</si>
  <si>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</si>
  <si>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</si>
  <si>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</si>
  <si>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</si>
  <si>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</si>
  <si>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</si>
  <si>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</si>
  <si>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</si>
  <si>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</si>
  <si>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</si>
  <si>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</si>
  <si>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</si>
  <si>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</si>
  <si>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</si>
  <si>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</si>
  <si>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</si>
  <si>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</si>
  <si>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</si>
  <si>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</si>
  <si>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</si>
  <si>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</si>
  <si>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</si>
  <si>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</si>
  <si>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</si>
  <si>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</si>
  <si>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</si>
  <si>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</si>
  <si>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</si>
  <si>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</si>
  <si>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</si>
  <si>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</si>
  <si>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</si>
  <si>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</si>
  <si>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</si>
  <si>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</si>
  <si>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</si>
  <si>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</si>
  <si>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</si>
  <si>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</si>
  <si>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</si>
  <si>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</si>
  <si>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</si>
  <si>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</si>
  <si>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</si>
  <si>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</si>
  <si>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</si>
  <si>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</si>
  <si>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</si>
  <si>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</si>
  <si>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</si>
  <si>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</si>
  <si>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</si>
  <si>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</si>
  <si>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</si>
  <si>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</si>
  <si>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</si>
  <si>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</si>
  <si>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</si>
  <si>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</si>
  <si>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</si>
  <si>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</si>
  <si>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</si>
  <si>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</si>
  <si>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</si>
  <si>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</si>
  <si>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</si>
  <si>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</si>
  <si>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</si>
  <si>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</si>
  <si>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</si>
  <si>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</si>
  <si>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</si>
  <si>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</si>
  <si>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</si>
  <si>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</si>
  <si>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</si>
  <si>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</si>
  <si>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</si>
  <si>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</si>
  <si>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</si>
  <si>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</si>
  <si>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</si>
  <si>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</si>
  <si>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</si>
  <si>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</si>
  <si>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</si>
  <si>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</si>
  <si>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</si>
  <si>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HMO, Inc.</t>
  </si>
  <si>
    <t>Independence Health Group, Inc.</t>
  </si>
  <si>
    <t>00936</t>
  </si>
  <si>
    <t>2015</t>
  </si>
  <si>
    <t>1901 Market Street Philadelphia, PA 19103-1480</t>
  </si>
  <si>
    <t>232314460</t>
  </si>
  <si>
    <t>95044</t>
  </si>
  <si>
    <t>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</si>
  <si>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</si>
  <si>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</si>
  <si>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</si>
  <si>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</si>
  <si>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</si>
  <si>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</si>
  <si>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</si>
  <si>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</si>
  <si>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</si>
  <si>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</si>
  <si>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</si>
  <si>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</si>
  <si>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</si>
  <si>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</si>
  <si>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</si>
  <si>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</si>
  <si>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</si>
  <si>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</si>
  <si>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</si>
  <si>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</si>
  <si>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</si>
  <si>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</si>
  <si>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</si>
  <si>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</si>
  <si>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</si>
  <si>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</si>
  <si>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</si>
  <si>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</si>
  <si>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</si>
  <si>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</si>
  <si>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</si>
  <si>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</si>
  <si>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</si>
  <si>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</si>
  <si>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</si>
  <si>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</si>
  <si>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</si>
  <si>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</si>
  <si>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</si>
  <si>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</si>
  <si>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</si>
  <si>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</si>
  <si>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</si>
  <si>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</si>
  <si>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</si>
  <si>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</si>
  <si>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</si>
  <si>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</si>
  <si>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</si>
  <si>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</si>
  <si>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</si>
  <si>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</si>
  <si>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</si>
  <si>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</si>
  <si>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</si>
  <si>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Insurance Company of New Jersey</t>
  </si>
  <si>
    <t>QCC Insurance Company</t>
  </si>
  <si>
    <t>Keystone Health Plan East</t>
  </si>
  <si>
    <t>Independence Hospital Indemnity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</si>
</sst>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81497037</v>
      </c>
      <c r="E5" s="213">
        <v>92584873</v>
      </c>
      <c r="F5" s="213">
        <v>0</v>
      </c>
      <c r="G5" s="213">
        <v>0</v>
      </c>
      <c r="H5" s="213">
        <v>0</v>
      </c>
      <c r="I5" s="212">
        <v>88102448</v>
      </c>
      <c r="J5" s="212">
        <f>88612761+4354112</f>
        <v>92966873</v>
      </c>
      <c r="K5" s="213">
        <f>87477020-13014+4114643</f>
        <v>91578649</v>
      </c>
      <c r="L5" s="213">
        <v>0</v>
      </c>
      <c r="M5" s="213">
        <v>0</v>
      </c>
      <c r="N5" s="213">
        <v>0</v>
      </c>
      <c r="O5" s="212">
        <f>89226370+4128045</f>
        <v>93354415</v>
      </c>
      <c r="P5" s="212">
        <f>60355180+12963580</f>
        <v>73318760</v>
      </c>
      <c r="Q5" s="213">
        <f>60727752-30366+12936064</f>
        <v>73633450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3803</v>
      </c>
      <c r="AO5" s="213">
        <v>332</v>
      </c>
      <c r="AP5" s="213">
        <v>0</v>
      </c>
      <c r="AQ5" s="213">
        <v>0</v>
      </c>
      <c r="AR5" s="213">
        <v>0</v>
      </c>
      <c r="AS5" s="212">
        <v>0</v>
      </c>
      <c r="AT5" s="214">
        <v>0</v>
      </c>
      <c r="AU5" s="214">
        <v>198076277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-73700231</v>
      </c>
      <c r="E8" s="268"/>
      <c r="F8" s="269"/>
      <c r="G8" s="269"/>
      <c r="H8" s="269"/>
      <c r="I8" s="272"/>
      <c r="J8" s="216">
        <f>-88257461-2363</f>
        <v>-88259824</v>
      </c>
      <c r="K8" s="268"/>
      <c r="L8" s="269"/>
      <c r="M8" s="269"/>
      <c r="N8" s="269"/>
      <c r="O8" s="272"/>
      <c r="P8" s="216">
        <v>-59095480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-198076277</v>
      </c>
      <c r="AV8" s="290"/>
      <c r="AW8" s="297"/>
    </row>
    <row r="9" spans="1:49" x14ac:dyDescent="0.2">
      <c r="B9" s="239" t="s">
        <v>226</v>
      </c>
      <c r="C9" s="203" t="s">
        <v>60</v>
      </c>
      <c r="D9" s="216"/>
      <c r="E9" s="267"/>
      <c r="F9" s="270"/>
      <c r="G9" s="270"/>
      <c r="H9" s="270"/>
      <c r="I9" s="271"/>
      <c r="J9" s="216">
        <v>-92667</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81336911-3384</f>
        <v>81333527</v>
      </c>
      <c r="E12" s="213">
        <f>80346158+124</f>
        <v>80346282</v>
      </c>
      <c r="F12" s="213">
        <v>0</v>
      </c>
      <c r="G12" s="213">
        <v>0</v>
      </c>
      <c r="H12" s="213">
        <v>0</v>
      </c>
      <c r="I12" s="212">
        <v>79872935</v>
      </c>
      <c r="J12" s="212">
        <f>74485905-244237+3239976</f>
        <v>77481644</v>
      </c>
      <c r="K12" s="213">
        <f>76374543+3292883</f>
        <v>79667426</v>
      </c>
      <c r="L12" s="213">
        <v>81347</v>
      </c>
      <c r="M12" s="213">
        <v>0</v>
      </c>
      <c r="N12" s="213">
        <v>0</v>
      </c>
      <c r="O12" s="212">
        <f>75785680+3320904</f>
        <v>79106584</v>
      </c>
      <c r="P12" s="212">
        <f>48934319+229205+10837806</f>
        <v>60001330</v>
      </c>
      <c r="Q12" s="213">
        <f>47160113-62112+10067850</f>
        <v>57165851</v>
      </c>
      <c r="R12" s="213">
        <v>934366</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f>24575+1733</f>
        <v>26308</v>
      </c>
      <c r="AU12" s="214">
        <v>184164499</v>
      </c>
      <c r="AV12" s="291"/>
      <c r="AW12" s="296"/>
    </row>
    <row r="13" spans="1:49" ht="25.5" x14ac:dyDescent="0.2">
      <c r="B13" s="239" t="s">
        <v>230</v>
      </c>
      <c r="C13" s="203" t="s">
        <v>37</v>
      </c>
      <c r="D13" s="216">
        <f>-6936-3430</f>
        <v>-10366</v>
      </c>
      <c r="E13" s="217">
        <f>-6936-3430</f>
        <v>-10366</v>
      </c>
      <c r="F13" s="217"/>
      <c r="G13" s="268"/>
      <c r="H13" s="269"/>
      <c r="I13" s="216"/>
      <c r="J13" s="216">
        <f>2942408-906+440591</f>
        <v>3382093</v>
      </c>
      <c r="K13" s="217">
        <f>2942408-906+440591</f>
        <v>3382093</v>
      </c>
      <c r="L13" s="217"/>
      <c r="M13" s="268"/>
      <c r="N13" s="269"/>
      <c r="O13" s="216"/>
      <c r="P13" s="216">
        <f>788297-1521+925103</f>
        <v>1711879</v>
      </c>
      <c r="Q13" s="217">
        <f>788297-1521+925103</f>
        <v>1711879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17983278</v>
      </c>
      <c r="AV13" s="290"/>
      <c r="AW13" s="297"/>
    </row>
    <row r="14" spans="1:49" ht="25.5" x14ac:dyDescent="0.2">
      <c r="B14" s="239" t="s">
        <v>231</v>
      </c>
      <c r="C14" s="203" t="s">
        <v>6</v>
      </c>
      <c r="D14" s="216">
        <f>1245349-6</f>
        <v>1245343</v>
      </c>
      <c r="E14" s="217">
        <f>1245349-6</f>
        <v>1245343</v>
      </c>
      <c r="F14" s="217"/>
      <c r="G14" s="267"/>
      <c r="H14" s="270"/>
      <c r="I14" s="216"/>
      <c r="J14" s="216">
        <f>1009892-279+32684</f>
        <v>1042297</v>
      </c>
      <c r="K14" s="217">
        <f>1009892-279+32684</f>
        <v>1042297</v>
      </c>
      <c r="L14" s="217"/>
      <c r="M14" s="267"/>
      <c r="N14" s="270"/>
      <c r="O14" s="216"/>
      <c r="P14" s="216">
        <f>271298-468+68625</f>
        <v>339455</v>
      </c>
      <c r="Q14" s="217">
        <f>271298-468+68625</f>
        <v>339455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2481073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-70207431</v>
      </c>
      <c r="E16" s="268"/>
      <c r="F16" s="269"/>
      <c r="G16" s="270"/>
      <c r="H16" s="270"/>
      <c r="I16" s="272"/>
      <c r="J16" s="216">
        <v>-76084903</v>
      </c>
      <c r="K16" s="268"/>
      <c r="L16" s="269"/>
      <c r="M16" s="270"/>
      <c r="N16" s="270"/>
      <c r="O16" s="272"/>
      <c r="P16" s="216">
        <v>-49508979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-24575</v>
      </c>
      <c r="AU16" s="220">
        <v>-184164499</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445979</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92667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4434145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79058</v>
      </c>
      <c r="E22" s="222">
        <v>79058</v>
      </c>
      <c r="F22" s="222">
        <v>0</v>
      </c>
      <c r="G22" s="222">
        <v>0</v>
      </c>
      <c r="H22" s="222">
        <v>0</v>
      </c>
      <c r="I22" s="221">
        <v>78267.42</v>
      </c>
      <c r="J22" s="221">
        <f>97070+1304</f>
        <v>98374</v>
      </c>
      <c r="K22" s="222">
        <f>97070+1304</f>
        <v>98374</v>
      </c>
      <c r="L22" s="222">
        <v>0</v>
      </c>
      <c r="M22" s="222">
        <v>0</v>
      </c>
      <c r="N22" s="222">
        <v>0</v>
      </c>
      <c r="O22" s="221">
        <f>96099.3+1317</f>
        <v>97416.3</v>
      </c>
      <c r="P22" s="221">
        <f>53628+3633</f>
        <v>57261</v>
      </c>
      <c r="Q22" s="222">
        <f>53628+3633</f>
        <v>57261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98202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f>-5784051+954</f>
        <v>-5783097</v>
      </c>
      <c r="E25" s="217">
        <f>-5458051+954</f>
        <v>-5457097</v>
      </c>
      <c r="F25" s="217"/>
      <c r="G25" s="217"/>
      <c r="H25" s="217"/>
      <c r="I25" s="216">
        <f>-3001759.6-82</f>
        <v>-3001841.6</v>
      </c>
      <c r="J25" s="216">
        <f>-542192+45726+146261</f>
        <v>-350205</v>
      </c>
      <c r="K25" s="217">
        <f>-225891+45726+146261</f>
        <v>-33904</v>
      </c>
      <c r="L25" s="217"/>
      <c r="M25" s="217"/>
      <c r="N25" s="217"/>
      <c r="O25" s="216">
        <f>-1690055.962-29191</f>
        <v>-1719246.9620000001</v>
      </c>
      <c r="P25" s="216">
        <f>-193303-55726+399961</f>
        <v>150932</v>
      </c>
      <c r="Q25" s="217">
        <f>-1453383-55726+399961</f>
        <v>-1109148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1051</v>
      </c>
      <c r="AO25" s="217">
        <v>1051</v>
      </c>
      <c r="AP25" s="217"/>
      <c r="AQ25" s="217"/>
      <c r="AR25" s="217"/>
      <c r="AS25" s="216"/>
      <c r="AT25" s="220">
        <v>-126234</v>
      </c>
      <c r="AU25" s="220">
        <v>-2070675</v>
      </c>
      <c r="AV25" s="220">
        <f>-33000-188993</f>
        <v>-221993</v>
      </c>
      <c r="AW25" s="297"/>
    </row>
    <row r="26" spans="1:49" s="5" customFormat="1" x14ac:dyDescent="0.2">
      <c r="A26" s="35"/>
      <c r="B26" s="242" t="s">
        <v>242</v>
      </c>
      <c r="C26" s="203"/>
      <c r="D26" s="216">
        <v>34768</v>
      </c>
      <c r="E26" s="217">
        <v>34768</v>
      </c>
      <c r="F26" s="217"/>
      <c r="G26" s="217"/>
      <c r="H26" s="217"/>
      <c r="I26" s="216">
        <v>34471</v>
      </c>
      <c r="J26" s="216">
        <f>39051+1579</f>
        <v>40630</v>
      </c>
      <c r="K26" s="217">
        <f>39051+1579</f>
        <v>40630</v>
      </c>
      <c r="L26" s="217"/>
      <c r="M26" s="217"/>
      <c r="N26" s="217"/>
      <c r="O26" s="216">
        <f>39051+1579</f>
        <v>40630</v>
      </c>
      <c r="P26" s="216">
        <f>21827+4347</f>
        <v>26174</v>
      </c>
      <c r="Q26" s="217">
        <f>21827+4347</f>
        <v>26174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1958647</v>
      </c>
      <c r="E27" s="217">
        <v>1958647</v>
      </c>
      <c r="F27" s="217"/>
      <c r="G27" s="217"/>
      <c r="H27" s="217"/>
      <c r="I27" s="216">
        <v>2126874</v>
      </c>
      <c r="J27" s="216">
        <f>3923796+7931+69035</f>
        <v>4000762</v>
      </c>
      <c r="K27" s="217">
        <f>3923796+7931+69035</f>
        <v>4000762</v>
      </c>
      <c r="L27" s="217"/>
      <c r="M27" s="217"/>
      <c r="N27" s="217"/>
      <c r="O27" s="216">
        <f>3423206+66046</f>
        <v>3489252</v>
      </c>
      <c r="P27" s="216">
        <f>1278267+25904+258835</f>
        <v>1563006</v>
      </c>
      <c r="Q27" s="217">
        <f>1278267+25904+258835</f>
        <v>1563006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3945020</v>
      </c>
      <c r="AV27" s="293"/>
      <c r="AW27" s="297"/>
    </row>
    <row r="28" spans="1:49" s="5" customFormat="1" x14ac:dyDescent="0.2">
      <c r="A28" s="35"/>
      <c r="B28" s="242" t="s">
        <v>244</v>
      </c>
      <c r="C28" s="203"/>
      <c r="D28" s="216">
        <v>2434539</v>
      </c>
      <c r="E28" s="217">
        <v>2434539</v>
      </c>
      <c r="F28" s="217"/>
      <c r="G28" s="217"/>
      <c r="H28" s="217"/>
      <c r="I28" s="216">
        <v>2459863</v>
      </c>
      <c r="J28" s="216">
        <f>764823+34492</f>
        <v>799315</v>
      </c>
      <c r="K28" s="217">
        <f>764823+34492</f>
        <v>799315</v>
      </c>
      <c r="L28" s="217"/>
      <c r="M28" s="217"/>
      <c r="N28" s="217"/>
      <c r="O28" s="216">
        <f>796633+34492</f>
        <v>831125</v>
      </c>
      <c r="P28" s="216">
        <f>514876+93456</f>
        <v>608332</v>
      </c>
      <c r="Q28" s="217">
        <f>514876+93456</f>
        <v>608332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-15</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f>439819+1844</f>
        <v>441663</v>
      </c>
      <c r="E30" s="217">
        <f>439819+1844</f>
        <v>441663</v>
      </c>
      <c r="F30" s="217"/>
      <c r="G30" s="217"/>
      <c r="H30" s="217"/>
      <c r="I30" s="216">
        <f>439819+1844</f>
        <v>441663</v>
      </c>
      <c r="J30" s="216">
        <f>426731+235819</f>
        <v>662550</v>
      </c>
      <c r="K30" s="217">
        <f>426731+235819</f>
        <v>662550</v>
      </c>
      <c r="L30" s="217"/>
      <c r="M30" s="217"/>
      <c r="N30" s="217"/>
      <c r="O30" s="216">
        <f>482881.672+223009</f>
        <v>705890.67200000002</v>
      </c>
      <c r="P30" s="216">
        <f>331325+597389</f>
        <v>928714</v>
      </c>
      <c r="Q30" s="217">
        <f>331325+597389</f>
        <v>928714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2030</v>
      </c>
      <c r="AO30" s="217">
        <v>2030</v>
      </c>
      <c r="AP30" s="217"/>
      <c r="AQ30" s="217"/>
      <c r="AR30" s="217"/>
      <c r="AS30" s="216"/>
      <c r="AT30" s="220">
        <v>-243910</v>
      </c>
      <c r="AU30" s="220">
        <v>-34915</v>
      </c>
      <c r="AV30" s="220">
        <v>-365172</v>
      </c>
      <c r="AW30" s="297"/>
    </row>
    <row r="31" spans="1:49" x14ac:dyDescent="0.2">
      <c r="B31" s="242" t="s">
        <v>247</v>
      </c>
      <c r="C31" s="203"/>
      <c r="D31" s="216">
        <v>1362047</v>
      </c>
      <c r="E31" s="217">
        <v>1362047</v>
      </c>
      <c r="F31" s="217"/>
      <c r="G31" s="217"/>
      <c r="H31" s="217"/>
      <c r="I31" s="216">
        <v>1362047</v>
      </c>
      <c r="J31" s="216">
        <v>1742480</v>
      </c>
      <c r="K31" s="217">
        <v>1742480</v>
      </c>
      <c r="L31" s="217"/>
      <c r="M31" s="217"/>
      <c r="N31" s="217"/>
      <c r="O31" s="216">
        <v>1865966.648</v>
      </c>
      <c r="P31" s="216">
        <v>1186824</v>
      </c>
      <c r="Q31" s="217">
        <v>1186824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1293316</v>
      </c>
      <c r="E37" s="225">
        <v>1293316</v>
      </c>
      <c r="F37" s="225"/>
      <c r="G37" s="225"/>
      <c r="H37" s="225"/>
      <c r="I37" s="224">
        <v>1121918</v>
      </c>
      <c r="J37" s="224">
        <f>1808949+68551</f>
        <v>1877500</v>
      </c>
      <c r="K37" s="225">
        <f>1808949+68551</f>
        <v>1877500</v>
      </c>
      <c r="L37" s="225"/>
      <c r="M37" s="225"/>
      <c r="N37" s="225"/>
      <c r="O37" s="224">
        <f>1458247.99482294+67746</f>
        <v>1525993.9948229401</v>
      </c>
      <c r="P37" s="224">
        <f>684744+92+118518</f>
        <v>803354</v>
      </c>
      <c r="Q37" s="225">
        <f>684744+92+118518</f>
        <v>803354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413138</v>
      </c>
      <c r="AV37" s="226">
        <v>98664</v>
      </c>
      <c r="AW37" s="296"/>
    </row>
    <row r="38" spans="1:49" x14ac:dyDescent="0.2">
      <c r="B38" s="239" t="s">
        <v>254</v>
      </c>
      <c r="C38" s="203" t="s">
        <v>16</v>
      </c>
      <c r="D38" s="216">
        <v>65848</v>
      </c>
      <c r="E38" s="217">
        <v>65848</v>
      </c>
      <c r="F38" s="217"/>
      <c r="G38" s="217"/>
      <c r="H38" s="217"/>
      <c r="I38" s="216">
        <v>65848</v>
      </c>
      <c r="J38" s="216">
        <f>71707+8026</f>
        <v>79733</v>
      </c>
      <c r="K38" s="217">
        <f>71707+8026</f>
        <v>79733</v>
      </c>
      <c r="L38" s="217"/>
      <c r="M38" s="217"/>
      <c r="N38" s="217"/>
      <c r="O38" s="216">
        <f>91467.4234648982+8026</f>
        <v>99493.423464898195</v>
      </c>
      <c r="P38" s="216">
        <f>41987+23257</f>
        <v>65244</v>
      </c>
      <c r="Q38" s="217">
        <f>41987+23257</f>
        <v>65244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137713</v>
      </c>
      <c r="AV38" s="220">
        <v>32888</v>
      </c>
      <c r="AW38" s="297"/>
    </row>
    <row r="39" spans="1:49" x14ac:dyDescent="0.2">
      <c r="B39" s="242" t="s">
        <v>255</v>
      </c>
      <c r="C39" s="203" t="s">
        <v>17</v>
      </c>
      <c r="D39" s="216">
        <v>37628</v>
      </c>
      <c r="E39" s="217">
        <v>37628</v>
      </c>
      <c r="F39" s="217"/>
      <c r="G39" s="217"/>
      <c r="H39" s="217"/>
      <c r="I39" s="216">
        <v>37628</v>
      </c>
      <c r="J39" s="216">
        <f>40975+4586</f>
        <v>45561</v>
      </c>
      <c r="K39" s="217">
        <f>40975+4586</f>
        <v>45561</v>
      </c>
      <c r="L39" s="217"/>
      <c r="M39" s="217"/>
      <c r="N39" s="217"/>
      <c r="O39" s="216">
        <f>52266.5524491919+4586</f>
        <v>56852.552449191899</v>
      </c>
      <c r="P39" s="216">
        <f>23992+13289</f>
        <v>37281</v>
      </c>
      <c r="Q39" s="217">
        <f>23992+13289</f>
        <v>37281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78692</v>
      </c>
      <c r="AV39" s="220">
        <v>18793</v>
      </c>
      <c r="AW39" s="297"/>
    </row>
    <row r="40" spans="1:49" x14ac:dyDescent="0.2">
      <c r="B40" s="242" t="s">
        <v>256</v>
      </c>
      <c r="C40" s="203" t="s">
        <v>38</v>
      </c>
      <c r="D40" s="216">
        <v>169324</v>
      </c>
      <c r="E40" s="217">
        <v>169324</v>
      </c>
      <c r="F40" s="217"/>
      <c r="G40" s="217"/>
      <c r="H40" s="217"/>
      <c r="I40" s="216">
        <v>169324</v>
      </c>
      <c r="J40" s="216">
        <f>184389+20638</f>
        <v>205027</v>
      </c>
      <c r="K40" s="217">
        <f>184389+20638</f>
        <v>205027</v>
      </c>
      <c r="L40" s="217"/>
      <c r="M40" s="217"/>
      <c r="N40" s="217"/>
      <c r="O40" s="216">
        <f>235201.399378988+20638</f>
        <v>255839.39937898799</v>
      </c>
      <c r="P40" s="216">
        <f>107967+59803</f>
        <v>167770</v>
      </c>
      <c r="Q40" s="217">
        <f>107967+59803</f>
        <v>167770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354118</v>
      </c>
      <c r="AV40" s="220">
        <v>84569</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215</v>
      </c>
      <c r="Q42" s="217">
        <v>215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1498081</v>
      </c>
      <c r="E44" s="225">
        <v>1498081</v>
      </c>
      <c r="F44" s="225"/>
      <c r="G44" s="225"/>
      <c r="H44" s="225"/>
      <c r="I44" s="224">
        <v>1498081</v>
      </c>
      <c r="J44" s="224">
        <f>1433475+137273</f>
        <v>1570748</v>
      </c>
      <c r="K44" s="225">
        <f>1433475+137273</f>
        <v>1570748</v>
      </c>
      <c r="L44" s="225"/>
      <c r="M44" s="225"/>
      <c r="N44" s="225"/>
      <c r="O44" s="224">
        <f>1828500.21408433+137273</f>
        <v>1965773.21408433</v>
      </c>
      <c r="P44" s="224">
        <f>1147707+166695</f>
        <v>1314402</v>
      </c>
      <c r="Q44" s="225">
        <f>1147707+166695</f>
        <v>1314402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2806952</v>
      </c>
      <c r="AV44" s="226">
        <v>54848</v>
      </c>
      <c r="AW44" s="296"/>
    </row>
    <row r="45" spans="1:49" x14ac:dyDescent="0.2">
      <c r="B45" s="245" t="s">
        <v>261</v>
      </c>
      <c r="C45" s="203" t="s">
        <v>19</v>
      </c>
      <c r="D45" s="216">
        <v>1946425</v>
      </c>
      <c r="E45" s="217">
        <v>1946425</v>
      </c>
      <c r="F45" s="217"/>
      <c r="G45" s="217"/>
      <c r="H45" s="217"/>
      <c r="I45" s="216">
        <v>1946425</v>
      </c>
      <c r="J45" s="216">
        <f>1862485+54489</f>
        <v>1916974</v>
      </c>
      <c r="K45" s="217">
        <f>1862485+54489</f>
        <v>1916974</v>
      </c>
      <c r="L45" s="217"/>
      <c r="M45" s="217"/>
      <c r="N45" s="217"/>
      <c r="O45" s="216">
        <f>2375733.25047793+54489</f>
        <v>2430222.2504779301</v>
      </c>
      <c r="P45" s="216">
        <f>1491192+66167</f>
        <v>1557359</v>
      </c>
      <c r="Q45" s="217">
        <f>1491192+66167</f>
        <v>1557359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3647015</v>
      </c>
      <c r="AV45" s="220">
        <v>21771</v>
      </c>
      <c r="AW45" s="297"/>
    </row>
    <row r="46" spans="1:49" x14ac:dyDescent="0.2">
      <c r="B46" s="245" t="s">
        <v>262</v>
      </c>
      <c r="C46" s="203" t="s">
        <v>20</v>
      </c>
      <c r="D46" s="216">
        <v>4246994</v>
      </c>
      <c r="E46" s="217">
        <v>4246994</v>
      </c>
      <c r="F46" s="217"/>
      <c r="G46" s="217"/>
      <c r="H46" s="217"/>
      <c r="I46" s="216">
        <v>4246994</v>
      </c>
      <c r="J46" s="216">
        <f>4116080+406029</f>
        <v>4522109</v>
      </c>
      <c r="K46" s="217">
        <f>4116080+406029</f>
        <v>4522109</v>
      </c>
      <c r="L46" s="217"/>
      <c r="M46" s="217"/>
      <c r="N46" s="217"/>
      <c r="O46" s="216">
        <f>5250355.36803099+406029</f>
        <v>5656384.3680309895</v>
      </c>
      <c r="P46" s="216">
        <f>3202910+588002</f>
        <v>3790912</v>
      </c>
      <c r="Q46" s="217">
        <f>3202910+588002</f>
        <v>3790912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217622</v>
      </c>
      <c r="AV46" s="220">
        <v>904467</v>
      </c>
      <c r="AW46" s="297"/>
    </row>
    <row r="47" spans="1:49" x14ac:dyDescent="0.2">
      <c r="B47" s="245" t="s">
        <v>263</v>
      </c>
      <c r="C47" s="203" t="s">
        <v>21</v>
      </c>
      <c r="D47" s="216">
        <v>1186359</v>
      </c>
      <c r="E47" s="217">
        <v>1186359</v>
      </c>
      <c r="F47" s="217"/>
      <c r="G47" s="217"/>
      <c r="H47" s="217"/>
      <c r="I47" s="216">
        <v>1186359</v>
      </c>
      <c r="J47" s="216">
        <f>1149789+70365</f>
        <v>1220154</v>
      </c>
      <c r="K47" s="217">
        <f>1149789+70365</f>
        <v>1220154</v>
      </c>
      <c r="L47" s="217"/>
      <c r="M47" s="217"/>
      <c r="N47" s="217"/>
      <c r="O47" s="216">
        <f>1466638.3666627+70365</f>
        <v>1537003.3666627</v>
      </c>
      <c r="P47" s="216">
        <f>894703+101901</f>
        <v>996604</v>
      </c>
      <c r="Q47" s="217">
        <f>894703+101901</f>
        <v>996604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2748243</v>
      </c>
      <c r="AV47" s="220">
        <v>156745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f>2399567-1611</f>
        <v>2397956</v>
      </c>
      <c r="E49" s="217">
        <f>2399567-1611</f>
        <v>2397956</v>
      </c>
      <c r="F49" s="217"/>
      <c r="G49" s="217"/>
      <c r="H49" s="217"/>
      <c r="I49" s="216">
        <f>2399567-1611</f>
        <v>2397956</v>
      </c>
      <c r="J49" s="216">
        <f>1986835-205995</f>
        <v>1780840</v>
      </c>
      <c r="K49" s="217">
        <f>1986835-205995</f>
        <v>1780840</v>
      </c>
      <c r="L49" s="217"/>
      <c r="M49" s="217"/>
      <c r="N49" s="217"/>
      <c r="O49" s="216">
        <f>2534350.59756901-205995</f>
        <v>2328355.5975690102</v>
      </c>
      <c r="P49" s="216">
        <f>1676497-521838</f>
        <v>1154659</v>
      </c>
      <c r="Q49" s="217">
        <f>1676497-521838</f>
        <v>1154659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-1773</v>
      </c>
      <c r="AO49" s="217">
        <v>-1773</v>
      </c>
      <c r="AP49" s="217"/>
      <c r="AQ49" s="217"/>
      <c r="AR49" s="217"/>
      <c r="AS49" s="216"/>
      <c r="AT49" s="220">
        <v>213063</v>
      </c>
      <c r="AU49" s="220">
        <v>4347044</v>
      </c>
      <c r="AV49" s="220">
        <v>318989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-162375</v>
      </c>
      <c r="E51" s="217">
        <v>-162375</v>
      </c>
      <c r="F51" s="217"/>
      <c r="G51" s="217"/>
      <c r="H51" s="217"/>
      <c r="I51" s="216">
        <v>-162375</v>
      </c>
      <c r="J51" s="216">
        <f>-161847+68308</f>
        <v>-93539</v>
      </c>
      <c r="K51" s="217">
        <f>-161847+68308</f>
        <v>-93539</v>
      </c>
      <c r="L51" s="217"/>
      <c r="M51" s="217"/>
      <c r="N51" s="217"/>
      <c r="O51" s="216">
        <f>-207872.166940981+68308</f>
        <v>-139564.166940981</v>
      </c>
      <c r="P51" s="216">
        <f>-106850+94100</f>
        <v>-12750</v>
      </c>
      <c r="Q51" s="217">
        <f>-106850+94100</f>
        <v>-12750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13855731</v>
      </c>
      <c r="AV51" s="220">
        <v>144518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8243</v>
      </c>
      <c r="E53" s="217">
        <v>8243</v>
      </c>
      <c r="F53" s="217"/>
      <c r="G53" s="268"/>
      <c r="H53" s="268"/>
      <c r="I53" s="216">
        <v>8243</v>
      </c>
      <c r="J53" s="216">
        <f>9808+97</f>
        <v>9905</v>
      </c>
      <c r="K53" s="217">
        <f>9808+97</f>
        <v>9905</v>
      </c>
      <c r="L53" s="217"/>
      <c r="M53" s="268"/>
      <c r="N53" s="268"/>
      <c r="O53" s="216">
        <v>12510.807722310539</v>
      </c>
      <c r="P53" s="216">
        <f>5592+271</f>
        <v>5863</v>
      </c>
      <c r="Q53" s="217">
        <f>5592+271</f>
        <v>5863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846967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8312</v>
      </c>
      <c r="E56" s="229">
        <v>8312</v>
      </c>
      <c r="F56" s="229"/>
      <c r="G56" s="229"/>
      <c r="H56" s="229"/>
      <c r="I56" s="228">
        <v>8312</v>
      </c>
      <c r="J56" s="228">
        <f>12563+375</f>
        <v>12938</v>
      </c>
      <c r="K56" s="229">
        <f>12563+375</f>
        <v>12938</v>
      </c>
      <c r="L56" s="229"/>
      <c r="M56" s="229"/>
      <c r="N56" s="229"/>
      <c r="O56" s="228">
        <f>10747+424</f>
        <v>11171</v>
      </c>
      <c r="P56" s="228">
        <f>4308+1212</f>
        <v>5520</v>
      </c>
      <c r="Q56" s="229">
        <f>4308+1212</f>
        <v>5520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18502</v>
      </c>
      <c r="AV56" s="230">
        <f>466+1410</f>
        <v>1876</v>
      </c>
      <c r="AW56" s="288"/>
    </row>
    <row r="57" spans="2:49" x14ac:dyDescent="0.2">
      <c r="B57" s="245" t="s">
        <v>272</v>
      </c>
      <c r="C57" s="203" t="s">
        <v>25</v>
      </c>
      <c r="D57" s="231">
        <v>13488</v>
      </c>
      <c r="E57" s="232">
        <v>13488</v>
      </c>
      <c r="F57" s="232"/>
      <c r="G57" s="232"/>
      <c r="H57" s="232"/>
      <c r="I57" s="231">
        <v>13488</v>
      </c>
      <c r="J57" s="231">
        <f>20853+749</f>
        <v>21602</v>
      </c>
      <c r="K57" s="232">
        <f>20853+749</f>
        <v>21602</v>
      </c>
      <c r="L57" s="232"/>
      <c r="M57" s="232"/>
      <c r="N57" s="232"/>
      <c r="O57" s="231">
        <f>19132+724</f>
        <v>19856</v>
      </c>
      <c r="P57" s="231">
        <f>9181+1963</f>
        <v>11144</v>
      </c>
      <c r="Q57" s="232">
        <f>9181+1963</f>
        <v>11144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18502</v>
      </c>
      <c r="AV57" s="233">
        <f>1269+3370</f>
        <v>4639</v>
      </c>
      <c r="AW57" s="289"/>
    </row>
    <row r="58" spans="2:49" x14ac:dyDescent="0.2">
      <c r="B58" s="245" t="s">
        <v>273</v>
      </c>
      <c r="C58" s="203" t="s">
        <v>26</v>
      </c>
      <c r="D58" s="309"/>
      <c r="E58" s="310"/>
      <c r="F58" s="310"/>
      <c r="G58" s="310"/>
      <c r="H58" s="310"/>
      <c r="I58" s="309"/>
      <c r="J58" s="231">
        <f>3167+209</f>
        <v>3376</v>
      </c>
      <c r="K58" s="232">
        <f>3167+209</f>
        <v>3376</v>
      </c>
      <c r="L58" s="232"/>
      <c r="M58" s="232"/>
      <c r="N58" s="232"/>
      <c r="O58" s="231">
        <f>2069+94</f>
        <v>2163</v>
      </c>
      <c r="P58" s="231">
        <f>81+143</f>
        <v>224</v>
      </c>
      <c r="Q58" s="232">
        <f>81+143</f>
        <v>224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44</v>
      </c>
      <c r="AV58" s="233">
        <f>1+29</f>
        <v>30</v>
      </c>
      <c r="AW58" s="289"/>
    </row>
    <row r="59" spans="2:49" x14ac:dyDescent="0.2">
      <c r="B59" s="245" t="s">
        <v>274</v>
      </c>
      <c r="C59" s="203" t="s">
        <v>27</v>
      </c>
      <c r="D59" s="231">
        <v>179483</v>
      </c>
      <c r="E59" s="232">
        <v>179483</v>
      </c>
      <c r="F59" s="232"/>
      <c r="G59" s="232"/>
      <c r="H59" s="232"/>
      <c r="I59" s="231">
        <v>179483</v>
      </c>
      <c r="J59" s="231">
        <f>213554+9028</f>
        <v>222582</v>
      </c>
      <c r="K59" s="232">
        <f>213554+9028</f>
        <v>222582</v>
      </c>
      <c r="L59" s="232"/>
      <c r="M59" s="232"/>
      <c r="N59" s="232"/>
      <c r="O59" s="231">
        <f>213585+9128</f>
        <v>222713</v>
      </c>
      <c r="P59" s="231">
        <f>121744+25161</f>
        <v>146905</v>
      </c>
      <c r="Q59" s="232">
        <f>121744+25161</f>
        <v>146905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222944</v>
      </c>
      <c r="AV59" s="233">
        <f>15165+39496</f>
        <v>54661</v>
      </c>
      <c r="AW59" s="289"/>
    </row>
    <row r="60" spans="2:49" x14ac:dyDescent="0.2">
      <c r="B60" s="245" t="s">
        <v>275</v>
      </c>
      <c r="C60" s="203"/>
      <c r="D60" s="234">
        <v>14957</v>
      </c>
      <c r="E60" s="235">
        <v>14957</v>
      </c>
      <c r="F60" s="235">
        <v>0</v>
      </c>
      <c r="G60" s="235">
        <v>0</v>
      </c>
      <c r="H60" s="235">
        <v>0</v>
      </c>
      <c r="I60" s="234">
        <v>14957</v>
      </c>
      <c r="J60" s="234">
        <f>17796+752</f>
        <v>18548</v>
      </c>
      <c r="K60" s="235">
        <f>17796+752</f>
        <v>18548</v>
      </c>
      <c r="L60" s="235">
        <v>0</v>
      </c>
      <c r="M60" s="235">
        <v>0</v>
      </c>
      <c r="N60" s="235">
        <v>0</v>
      </c>
      <c r="O60" s="234">
        <f>17799+761</f>
        <v>18560</v>
      </c>
      <c r="P60" s="234">
        <f>10145+2097</f>
        <v>12242</v>
      </c>
      <c r="Q60" s="235">
        <f>10145+2097</f>
        <v>12242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18579</v>
      </c>
      <c r="AV60" s="236">
        <f>1264+3291</f>
        <v>4555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f>1098499+12232</f>
        <v>1110731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f>406000+197000</f>
        <v>603000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51" yWindow="19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82353729</v>
      </c>
      <c r="E5" s="326">
        <v>84242801</v>
      </c>
      <c r="F5" s="326"/>
      <c r="G5" s="328"/>
      <c r="H5" s="328"/>
      <c r="I5" s="325">
        <v>84139501</v>
      </c>
      <c r="J5" s="325">
        <f>98914100+4111999</f>
        <v>103026099</v>
      </c>
      <c r="K5" s="326">
        <f>100878313-13014+4114643</f>
        <v>104979942</v>
      </c>
      <c r="L5" s="326"/>
      <c r="M5" s="326"/>
      <c r="N5" s="326"/>
      <c r="O5" s="325">
        <f>104114995+4128045</f>
        <v>108243040</v>
      </c>
      <c r="P5" s="325">
        <f>60440598+12963580</f>
        <v>73404178</v>
      </c>
      <c r="Q5" s="326">
        <f>60813170-30366+12936064</f>
        <v>73718868</v>
      </c>
      <c r="R5" s="326"/>
      <c r="S5" s="326"/>
      <c r="T5" s="326"/>
      <c r="U5" s="325"/>
      <c r="V5" s="326"/>
      <c r="W5" s="326"/>
      <c r="X5" s="325"/>
      <c r="Y5" s="326"/>
      <c r="Z5" s="326"/>
      <c r="AA5" s="325"/>
      <c r="AB5" s="326"/>
      <c r="AC5" s="326"/>
      <c r="AD5" s="325"/>
      <c r="AE5" s="366"/>
      <c r="AF5" s="366"/>
      <c r="AG5" s="366"/>
      <c r="AH5" s="366"/>
      <c r="AI5" s="325"/>
      <c r="AJ5" s="366"/>
      <c r="AK5" s="366"/>
      <c r="AL5" s="366"/>
      <c r="AM5" s="366"/>
      <c r="AN5" s="325">
        <v>3803</v>
      </c>
      <c r="AO5" s="326">
        <v>332</v>
      </c>
      <c r="AP5" s="326"/>
      <c r="AQ5" s="326"/>
      <c r="AR5" s="326"/>
      <c r="AS5" s="325"/>
      <c r="AT5" s="327"/>
      <c r="AU5" s="327">
        <v>198076277</v>
      </c>
      <c r="AV5" s="369"/>
      <c r="AW5" s="373"/>
    </row>
    <row r="6" spans="2:49" x14ac:dyDescent="0.2">
      <c r="B6" s="343" t="s">
        <v>278</v>
      </c>
      <c r="C6" s="331" t="s">
        <v>8</v>
      </c>
      <c r="D6" s="318">
        <v>429925</v>
      </c>
      <c r="E6" s="319">
        <v>429925</v>
      </c>
      <c r="F6" s="319"/>
      <c r="G6" s="320"/>
      <c r="H6" s="320"/>
      <c r="I6" s="318"/>
      <c r="J6" s="318">
        <v>931455</v>
      </c>
      <c r="K6" s="319">
        <v>931455</v>
      </c>
      <c r="L6" s="319"/>
      <c r="M6" s="319"/>
      <c r="N6" s="319"/>
      <c r="O6" s="318"/>
      <c r="P6" s="318">
        <v>286437</v>
      </c>
      <c r="Q6" s="319">
        <v>286437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423009</v>
      </c>
      <c r="E7" s="319">
        <v>423009</v>
      </c>
      <c r="F7" s="319"/>
      <c r="G7" s="320"/>
      <c r="H7" s="320"/>
      <c r="I7" s="318"/>
      <c r="J7" s="318">
        <v>434860</v>
      </c>
      <c r="K7" s="319">
        <v>434860</v>
      </c>
      <c r="L7" s="319"/>
      <c r="M7" s="319"/>
      <c r="N7" s="319"/>
      <c r="O7" s="318"/>
      <c r="P7" s="318">
        <v>371855</v>
      </c>
      <c r="Q7" s="319">
        <v>371855</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12230951</v>
      </c>
      <c r="E15" s="319">
        <v>8822692</v>
      </c>
      <c r="F15" s="319"/>
      <c r="G15" s="319"/>
      <c r="H15" s="319"/>
      <c r="I15" s="318">
        <v>8822692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-20654676</v>
      </c>
      <c r="E16" s="319">
        <v>-4859745</v>
      </c>
      <c r="F16" s="319"/>
      <c r="G16" s="319"/>
      <c r="H16" s="319"/>
      <c r="I16" s="318">
        <v>-4859745</v>
      </c>
      <c r="J16" s="318">
        <f>-11230720+242113</f>
        <v>-10988607</v>
      </c>
      <c r="K16" s="319">
        <v>-14888625</v>
      </c>
      <c r="L16" s="319"/>
      <c r="M16" s="319"/>
      <c r="N16" s="319"/>
      <c r="O16" s="318">
        <v>-14888625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7560117</v>
      </c>
      <c r="E17" s="361">
        <f>4372209+1</f>
        <v>4372210</v>
      </c>
      <c r="F17" s="361"/>
      <c r="G17" s="361"/>
      <c r="H17" s="319"/>
      <c r="I17" s="365"/>
      <c r="J17" s="318">
        <v>432786</v>
      </c>
      <c r="K17" s="361">
        <v>990737</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29366049</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f>79699697+102</f>
        <v>79699799</v>
      </c>
      <c r="E23" s="362"/>
      <c r="F23" s="362"/>
      <c r="G23" s="362"/>
      <c r="H23" s="362"/>
      <c r="I23" s="364"/>
      <c r="J23" s="318">
        <f>76937668+76829+3256285</f>
        <v>80270782</v>
      </c>
      <c r="K23" s="362"/>
      <c r="L23" s="362"/>
      <c r="M23" s="362"/>
      <c r="N23" s="362"/>
      <c r="O23" s="364"/>
      <c r="P23" s="318">
        <f>45053311-190795+12643602</f>
        <v>57506118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f>24575+1733</f>
        <v>26308</v>
      </c>
      <c r="AU23" s="321">
        <v>188567202</v>
      </c>
      <c r="AV23" s="368"/>
      <c r="AW23" s="374"/>
    </row>
    <row r="24" spans="2:49" ht="28.5" customHeight="1" x14ac:dyDescent="0.2">
      <c r="B24" s="345" t="s">
        <v>114</v>
      </c>
      <c r="C24" s="331"/>
      <c r="D24" s="365"/>
      <c r="E24" s="319">
        <f>79404986+120</f>
        <v>79405106</v>
      </c>
      <c r="F24" s="319"/>
      <c r="G24" s="319"/>
      <c r="H24" s="319"/>
      <c r="I24" s="318">
        <v>78847796</v>
      </c>
      <c r="J24" s="365"/>
      <c r="K24" s="319">
        <f>72384422+2610750</f>
        <v>74995172</v>
      </c>
      <c r="L24" s="319">
        <v>60291</v>
      </c>
      <c r="M24" s="319"/>
      <c r="N24" s="319"/>
      <c r="O24" s="318">
        <f>71805522+2563443</f>
        <v>74368965</v>
      </c>
      <c r="P24" s="365"/>
      <c r="Q24" s="319">
        <f>42380441-81770+11323169</f>
        <v>53621840</v>
      </c>
      <c r="R24" s="319">
        <v>620112</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f>13025155+146</f>
        <v>13025301</v>
      </c>
      <c r="E26" s="362"/>
      <c r="F26" s="362"/>
      <c r="G26" s="362"/>
      <c r="H26" s="362"/>
      <c r="I26" s="364"/>
      <c r="J26" s="318">
        <f>10490610+268178+345048</f>
        <v>11103836</v>
      </c>
      <c r="K26" s="362"/>
      <c r="L26" s="362"/>
      <c r="M26" s="362"/>
      <c r="N26" s="362"/>
      <c r="O26" s="364"/>
      <c r="P26" s="318">
        <f>7887493+400609+1427611</f>
        <v>9715713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24079824</v>
      </c>
      <c r="AV26" s="368"/>
      <c r="AW26" s="374"/>
    </row>
    <row r="27" spans="2:49" s="5" customFormat="1" ht="25.5" x14ac:dyDescent="0.2">
      <c r="B27" s="345" t="s">
        <v>85</v>
      </c>
      <c r="C27" s="331"/>
      <c r="D27" s="365"/>
      <c r="E27" s="319">
        <v>1236291</v>
      </c>
      <c r="F27" s="319"/>
      <c r="G27" s="319"/>
      <c r="H27" s="319"/>
      <c r="I27" s="318">
        <v>1322228</v>
      </c>
      <c r="J27" s="365"/>
      <c r="K27" s="319">
        <f>1432080+96484</f>
        <v>1528564</v>
      </c>
      <c r="L27" s="319">
        <v>21056</v>
      </c>
      <c r="M27" s="319"/>
      <c r="N27" s="319"/>
      <c r="O27" s="318">
        <f>1616386+105342</f>
        <v>1721728</v>
      </c>
      <c r="P27" s="365"/>
      <c r="Q27" s="319">
        <f>851436+1028+588726</f>
        <v>1441190</v>
      </c>
      <c r="R27" s="319">
        <v>314254</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f>10889011+3732</f>
        <v>10892743</v>
      </c>
      <c r="E28" s="363"/>
      <c r="F28" s="363"/>
      <c r="G28" s="363"/>
      <c r="H28" s="363"/>
      <c r="I28" s="365"/>
      <c r="J28" s="318">
        <f>11334793+205378+587405</f>
        <v>12127576</v>
      </c>
      <c r="K28" s="363"/>
      <c r="L28" s="363"/>
      <c r="M28" s="363"/>
      <c r="N28" s="363"/>
      <c r="O28" s="365"/>
      <c r="P28" s="318">
        <f>5687491+462076+1009504</f>
        <v>7159071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25335883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27096</v>
      </c>
      <c r="E45" s="319">
        <v>-4240</v>
      </c>
      <c r="F45" s="319"/>
      <c r="G45" s="319"/>
      <c r="H45" s="319"/>
      <c r="I45" s="318">
        <v>-11640</v>
      </c>
      <c r="J45" s="318">
        <f>1237967-827+11584</f>
        <v>1248724</v>
      </c>
      <c r="K45" s="319">
        <f>1085148+8669</f>
        <v>1093817</v>
      </c>
      <c r="L45" s="319"/>
      <c r="M45" s="319"/>
      <c r="N45" s="319"/>
      <c r="O45" s="318">
        <f>9528+3175</f>
        <v>12703</v>
      </c>
      <c r="P45" s="318">
        <f>711085+1984+32247</f>
        <v>745316</v>
      </c>
      <c r="Q45" s="319">
        <f>623883+23751</f>
        <v>647634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23660</v>
      </c>
      <c r="AV45" s="368"/>
      <c r="AW45" s="374"/>
    </row>
    <row r="46" spans="2:49" x14ac:dyDescent="0.2">
      <c r="B46" s="343" t="s">
        <v>116</v>
      </c>
      <c r="C46" s="331" t="s">
        <v>31</v>
      </c>
      <c r="D46" s="318">
        <v>18351</v>
      </c>
      <c r="E46" s="319">
        <f>21079+4</f>
        <v>21083</v>
      </c>
      <c r="F46" s="319"/>
      <c r="G46" s="319"/>
      <c r="H46" s="319"/>
      <c r="I46" s="318">
        <v>11640</v>
      </c>
      <c r="J46" s="318">
        <f>87217+28+4233</f>
        <v>91478</v>
      </c>
      <c r="K46" s="319">
        <f>82551+1962</f>
        <v>84513</v>
      </c>
      <c r="L46" s="319"/>
      <c r="M46" s="319"/>
      <c r="N46" s="319"/>
      <c r="O46" s="318">
        <f>-9528+4760</f>
        <v>-4768</v>
      </c>
      <c r="P46" s="318">
        <f>50097-30+11759</f>
        <v>61826</v>
      </c>
      <c r="Q46" s="319">
        <f>47461+233+5377</f>
        <v>53071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51207</v>
      </c>
      <c r="AV46" s="368"/>
      <c r="AW46" s="374"/>
    </row>
    <row r="47" spans="2:49" x14ac:dyDescent="0.2">
      <c r="B47" s="343" t="s">
        <v>117</v>
      </c>
      <c r="C47" s="331" t="s">
        <v>32</v>
      </c>
      <c r="D47" s="318">
        <f>16894-4</f>
        <v>16890</v>
      </c>
      <c r="E47" s="363"/>
      <c r="F47" s="363"/>
      <c r="G47" s="363"/>
      <c r="H47" s="363"/>
      <c r="I47" s="365"/>
      <c r="J47" s="318">
        <f>197069+313+4204</f>
        <v>201586</v>
      </c>
      <c r="K47" s="363"/>
      <c r="L47" s="363"/>
      <c r="M47" s="363"/>
      <c r="N47" s="363"/>
      <c r="O47" s="365"/>
      <c r="P47" s="318">
        <f>58305+585+13129</f>
        <v>72019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29368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527483</v>
      </c>
      <c r="E49" s="319">
        <v>311958</v>
      </c>
      <c r="F49" s="319"/>
      <c r="G49" s="319"/>
      <c r="H49" s="319"/>
      <c r="I49" s="318">
        <v>297089</v>
      </c>
      <c r="J49" s="318">
        <f>3736145+284389+557354</f>
        <v>4577888</v>
      </c>
      <c r="K49" s="319">
        <f>497831+30698</f>
        <v>528529</v>
      </c>
      <c r="L49" s="319"/>
      <c r="M49" s="319"/>
      <c r="N49" s="319"/>
      <c r="O49" s="318">
        <f>270521+10910</f>
        <v>281431</v>
      </c>
      <c r="P49" s="318">
        <f>1989063-682300+1541821</f>
        <v>2848584</v>
      </c>
      <c r="Q49" s="319">
        <f>190948-18397+81216</f>
        <v>253767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3192143</v>
      </c>
      <c r="AV49" s="368"/>
      <c r="AW49" s="374"/>
    </row>
    <row r="50" spans="2:49" x14ac:dyDescent="0.2">
      <c r="B50" s="343" t="s">
        <v>119</v>
      </c>
      <c r="C50" s="331" t="s">
        <v>34</v>
      </c>
      <c r="D50" s="318">
        <v>96</v>
      </c>
      <c r="E50" s="363"/>
      <c r="F50" s="363"/>
      <c r="G50" s="363"/>
      <c r="H50" s="363"/>
      <c r="I50" s="365"/>
      <c r="J50" s="318">
        <f>-98365+128692</f>
        <v>30327</v>
      </c>
      <c r="K50" s="363"/>
      <c r="L50" s="363"/>
      <c r="M50" s="363"/>
      <c r="N50" s="363"/>
      <c r="O50" s="365"/>
      <c r="P50" s="318">
        <f>-202202+381834</f>
        <v>179632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f>1000450+643097</f>
        <v>1643547</v>
      </c>
      <c r="K53" s="319">
        <f>1888173+605716</f>
        <v>2493889</v>
      </c>
      <c r="L53" s="319"/>
      <c r="M53" s="319"/>
      <c r="N53" s="319"/>
      <c r="O53" s="318">
        <f>2634293+655094</f>
        <v>3289387</v>
      </c>
      <c r="P53" s="318">
        <f>2967192-1094793</f>
        <v>1872399</v>
      </c>
      <c r="Q53" s="319">
        <f>3447840-1791957</f>
        <v>1655883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81336911-3384</f>
        <v>81333527</v>
      </c>
      <c r="E54" s="323">
        <f>80346158+124</f>
        <v>80346282</v>
      </c>
      <c r="F54" s="323">
        <v>0</v>
      </c>
      <c r="G54" s="323">
        <v>0</v>
      </c>
      <c r="H54" s="323">
        <v>0</v>
      </c>
      <c r="I54" s="322">
        <v>79872935</v>
      </c>
      <c r="J54" s="322">
        <f>74485905-244237+3239976</f>
        <v>77481644</v>
      </c>
      <c r="K54" s="323">
        <f>76374543+3292883</f>
        <v>79667426</v>
      </c>
      <c r="L54" s="323">
        <v>81347</v>
      </c>
      <c r="M54" s="323">
        <v>0</v>
      </c>
      <c r="N54" s="323">
        <v>0</v>
      </c>
      <c r="O54" s="322">
        <f>75785680+3320904</f>
        <v>79106584</v>
      </c>
      <c r="P54" s="322">
        <f>48934319+229205+10837806</f>
        <v>60001330</v>
      </c>
      <c r="Q54" s="323">
        <f>47160113-62112+10067850</f>
        <v>57165851</v>
      </c>
      <c r="R54" s="323">
        <v>934366</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f>24575+1733</f>
        <v>26308</v>
      </c>
      <c r="AU54" s="324">
        <v>184164499</v>
      </c>
      <c r="AV54" s="368"/>
      <c r="AW54" s="374"/>
    </row>
    <row r="55" spans="2:49" ht="25.5" x14ac:dyDescent="0.2">
      <c r="B55" s="348" t="s">
        <v>493</v>
      </c>
      <c r="C55" s="335" t="s">
        <v>28</v>
      </c>
      <c r="D55" s="322">
        <v>79058</v>
      </c>
      <c r="E55" s="323">
        <v>79058</v>
      </c>
      <c r="F55" s="323">
        <v>0</v>
      </c>
      <c r="G55" s="323">
        <v>0</v>
      </c>
      <c r="H55" s="323">
        <v>0</v>
      </c>
      <c r="I55" s="322">
        <v>78267.42</v>
      </c>
      <c r="J55" s="322">
        <f>97070+1304</f>
        <v>98374</v>
      </c>
      <c r="K55" s="323">
        <f>97070+1304</f>
        <v>98374</v>
      </c>
      <c r="L55" s="323">
        <v>0</v>
      </c>
      <c r="M55" s="323">
        <v>0</v>
      </c>
      <c r="N55" s="323">
        <v>0</v>
      </c>
      <c r="O55" s="322">
        <f>96099.3+1317</f>
        <v>97416.3</v>
      </c>
      <c r="P55" s="322">
        <f>53628+3633</f>
        <v>57261</v>
      </c>
      <c r="Q55" s="323">
        <f>53628+3633</f>
        <v>57261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98202</v>
      </c>
      <c r="AV55" s="368"/>
      <c r="AW55" s="374"/>
    </row>
    <row r="56" spans="2:49" ht="11.85" customHeight="1" x14ac:dyDescent="0.2">
      <c r="B56" s="343" t="s">
        <v>120</v>
      </c>
      <c r="C56" s="335" t="s">
        <v>412</v>
      </c>
      <c r="D56" s="318">
        <v>79058</v>
      </c>
      <c r="E56" s="319">
        <v>79058</v>
      </c>
      <c r="F56" s="319"/>
      <c r="G56" s="319"/>
      <c r="H56" s="319"/>
      <c r="I56" s="318">
        <v>78267.42</v>
      </c>
      <c r="J56" s="318">
        <f>97070+1304</f>
        <v>98374</v>
      </c>
      <c r="K56" s="319">
        <f>97070+1304</f>
        <v>98374</v>
      </c>
      <c r="L56" s="319"/>
      <c r="M56" s="319"/>
      <c r="N56" s="319"/>
      <c r="O56" s="318">
        <f>96099.3+1317</f>
        <v>97416.3</v>
      </c>
      <c r="P56" s="318">
        <f>53628+3633</f>
        <v>57261</v>
      </c>
      <c r="Q56" s="319">
        <f>53628+3633</f>
        <v>57261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98202</v>
      </c>
      <c r="AV56" s="321">
        <f>6680+5703</f>
        <v>12383</v>
      </c>
      <c r="AW56" s="374"/>
    </row>
    <row r="57" spans="2:49" x14ac:dyDescent="0.2">
      <c r="B57" s="343" t="s">
        <v>121</v>
      </c>
      <c r="C57" s="335" t="s">
        <v>29</v>
      </c>
      <c r="D57" s="318">
        <v>610865</v>
      </c>
      <c r="E57" s="319">
        <v>610865</v>
      </c>
      <c r="F57" s="319"/>
      <c r="G57" s="319"/>
      <c r="H57" s="319"/>
      <c r="I57" s="318">
        <v>604756.35</v>
      </c>
      <c r="J57" s="318">
        <f>1710124+13508</f>
        <v>1723632</v>
      </c>
      <c r="K57" s="319">
        <f>1710124+13508</f>
        <v>1723632</v>
      </c>
      <c r="L57" s="319"/>
      <c r="M57" s="319"/>
      <c r="N57" s="319"/>
      <c r="O57" s="318">
        <f>1693022.76+13643</f>
        <v>1706665.76</v>
      </c>
      <c r="P57" s="318">
        <f>664430+215+92932</f>
        <v>757577</v>
      </c>
      <c r="Q57" s="319">
        <f>664430+215+92932</f>
        <v>757577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1149272</v>
      </c>
      <c r="AV57" s="321"/>
      <c r="AW57" s="374"/>
    </row>
    <row r="58" spans="2:49" s="5" customFormat="1" x14ac:dyDescent="0.2">
      <c r="B58" s="351" t="s">
        <v>494</v>
      </c>
      <c r="C58" s="352"/>
      <c r="D58" s="353"/>
      <c r="E58" s="354">
        <v>1851364</v>
      </c>
      <c r="F58" s="354"/>
      <c r="G58" s="354"/>
      <c r="H58" s="354"/>
      <c r="I58" s="353">
        <v>1580022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199" yWindow="17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f>25387334+25605</f>
        <v>25412939</v>
      </c>
      <c r="D5" s="403">
        <f>82703592+4070</f>
        <v>82707662</v>
      </c>
      <c r="E5" s="454"/>
      <c r="F5" s="454"/>
      <c r="G5" s="448"/>
      <c r="H5" s="402">
        <f>208176031+1183175+4615420</f>
        <v>213974626</v>
      </c>
      <c r="I5" s="403">
        <f>179465667+402377+930592</f>
        <v>180798636</v>
      </c>
      <c r="J5" s="454"/>
      <c r="K5" s="454"/>
      <c r="L5" s="448"/>
      <c r="M5" s="402">
        <f>58048364+2864137+9638550</f>
        <v>70551051</v>
      </c>
      <c r="N5" s="403">
        <f>55141722+711856+12326723</f>
        <v>68180301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f>24602975+32841</f>
        <v>24635816</v>
      </c>
      <c r="D6" s="398">
        <f>87004114-38</f>
        <v>87004076</v>
      </c>
      <c r="E6" s="400">
        <f>80425216+124</f>
        <v>80425340</v>
      </c>
      <c r="F6" s="400">
        <f>192032305+32927</f>
        <v>192065232</v>
      </c>
      <c r="G6" s="401">
        <v>79951202.420000002</v>
      </c>
      <c r="H6" s="397">
        <f>212715412+1174442+2944248</f>
        <v>216834102</v>
      </c>
      <c r="I6" s="398">
        <f>178737181+316660+2842023</f>
        <v>181895864</v>
      </c>
      <c r="J6" s="400">
        <f>76471613+3294187</f>
        <v>79765800</v>
      </c>
      <c r="K6" s="400">
        <f>467924206+1491102+9080458</f>
        <v>478495766</v>
      </c>
      <c r="L6" s="401">
        <f>75881779.3+3322221</f>
        <v>79204000.299999997</v>
      </c>
      <c r="M6" s="397">
        <f>57862634+2728873+11224726</f>
        <v>71816233</v>
      </c>
      <c r="N6" s="398">
        <f>55330607+1149303+11447632</f>
        <v>67927542</v>
      </c>
      <c r="O6" s="400">
        <f>47213741-62112+10071483</f>
        <v>57223112</v>
      </c>
      <c r="P6" s="400">
        <f>160406982+3816064+32743841</f>
        <v>196966887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f>115412+90</f>
        <v>115502</v>
      </c>
      <c r="D7" s="398">
        <v>546834</v>
      </c>
      <c r="E7" s="400">
        <v>1566116</v>
      </c>
      <c r="F7" s="400">
        <f>2228362+90</f>
        <v>2228452</v>
      </c>
      <c r="G7" s="401">
        <v>1394718</v>
      </c>
      <c r="H7" s="397">
        <f>1414164+6093+18625</f>
        <v>1438882</v>
      </c>
      <c r="I7" s="398">
        <f>1086016+4731+45406</f>
        <v>1136153</v>
      </c>
      <c r="J7" s="400">
        <f>2106020+101801</f>
        <v>2207821</v>
      </c>
      <c r="K7" s="400">
        <f>4606200+10824+165832</f>
        <v>4782856</v>
      </c>
      <c r="L7" s="401">
        <f>1837183.37011602+100996</f>
        <v>1938179.3701160201</v>
      </c>
      <c r="M7" s="397">
        <f>352850+11372+62877</f>
        <v>427099</v>
      </c>
      <c r="N7" s="398">
        <f>320608+9723+142367</f>
        <v>472698</v>
      </c>
      <c r="O7" s="400">
        <f>858690+92+214867</f>
        <v>1073649</v>
      </c>
      <c r="P7" s="400">
        <f>1532148+21187+420111</f>
        <v>1973446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2802933</v>
      </c>
      <c r="E8" s="400">
        <v>1851364</v>
      </c>
      <c r="F8" s="400">
        <v>4654297</v>
      </c>
      <c r="G8" s="401">
        <v>1580022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14451040</v>
      </c>
      <c r="E9" s="400">
        <v>8822692</v>
      </c>
      <c r="F9" s="400">
        <v>23273732</v>
      </c>
      <c r="G9" s="401">
        <v>8822692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-24464783</v>
      </c>
      <c r="E10" s="400">
        <v>-4859745</v>
      </c>
      <c r="F10" s="400">
        <v>-29324528</v>
      </c>
      <c r="G10" s="401">
        <v>-4859745</v>
      </c>
      <c r="H10" s="443"/>
      <c r="I10" s="398">
        <v>-7051443</v>
      </c>
      <c r="J10" s="400">
        <v>-14888625</v>
      </c>
      <c r="K10" s="400">
        <v>-21940068</v>
      </c>
      <c r="L10" s="401">
        <v>-14888625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411997</v>
      </c>
      <c r="E11" s="400">
        <v>4372209</v>
      </c>
      <c r="F11" s="400">
        <v>4784206</v>
      </c>
      <c r="G11" s="450"/>
      <c r="H11" s="443"/>
      <c r="I11" s="398">
        <v>17011</v>
      </c>
      <c r="J11" s="400">
        <v>990737</v>
      </c>
      <c r="K11" s="400">
        <v>1007748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24718387+32931</f>
        <v>24751318</v>
      </c>
      <c r="D12" s="400">
        <f>94349761-38</f>
        <v>94349723</v>
      </c>
      <c r="E12" s="400">
        <f>71804812+124</f>
        <v>71804936</v>
      </c>
      <c r="F12" s="400">
        <f>190872960+33017</f>
        <v>190905977</v>
      </c>
      <c r="G12" s="447"/>
      <c r="H12" s="399">
        <f>214129576+1180535+2962873</f>
        <v>218272984</v>
      </c>
      <c r="I12" s="400">
        <f>186857629+321391+2887429</f>
        <v>190066449</v>
      </c>
      <c r="J12" s="400">
        <f>92475521+3395988</f>
        <v>95871509</v>
      </c>
      <c r="K12" s="400">
        <f>493462726+1501926+9246290</f>
        <v>504210942</v>
      </c>
      <c r="L12" s="447"/>
      <c r="M12" s="399">
        <f>58215484+2740245+11287603</f>
        <v>72243332</v>
      </c>
      <c r="N12" s="400">
        <f>55651215+1159026+11589999</f>
        <v>68400240</v>
      </c>
      <c r="O12" s="400">
        <f>48072431-62020+10286350</f>
        <v>58296761</v>
      </c>
      <c r="P12" s="400">
        <f>161939130+3837251+33163952</f>
        <v>198940333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f>25665567+46513</f>
        <v>25712080</v>
      </c>
      <c r="D15" s="403">
        <f>105150784+56</f>
        <v>105150840</v>
      </c>
      <c r="E15" s="395">
        <v>84249717</v>
      </c>
      <c r="F15" s="395">
        <f>215066068+46569</f>
        <v>215112637</v>
      </c>
      <c r="G15" s="396">
        <v>84139501</v>
      </c>
      <c r="H15" s="402">
        <f>255563687+1653864+3465281</f>
        <v>260682832</v>
      </c>
      <c r="I15" s="403">
        <f>218992102+430153+3623806</f>
        <v>223046061</v>
      </c>
      <c r="J15" s="395">
        <f>101374908-13014+4114643</f>
        <v>105476537</v>
      </c>
      <c r="K15" s="395">
        <f>575930697+2071003+11203730</f>
        <v>589205430</v>
      </c>
      <c r="L15" s="396">
        <f>104114995+4128045</f>
        <v>108243040</v>
      </c>
      <c r="M15" s="402">
        <f>73261205+3449190+13302532</f>
        <v>90012927</v>
      </c>
      <c r="N15" s="403">
        <f>70785731+1269923+13584210</f>
        <v>85639864</v>
      </c>
      <c r="O15" s="395">
        <f>60727752-30366+12936064</f>
        <v>73633450</v>
      </c>
      <c r="P15" s="395">
        <f>204774688+4688747+39822806</f>
        <v>249286241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332</v>
      </c>
      <c r="AN15" s="431">
        <v>332</v>
      </c>
    </row>
    <row r="16" spans="1:40" x14ac:dyDescent="0.2">
      <c r="B16" s="415" t="s">
        <v>311</v>
      </c>
      <c r="C16" s="397">
        <f>-563177+7516</f>
        <v>-555661</v>
      </c>
      <c r="D16" s="398">
        <f>18593871-668</f>
        <v>18593203</v>
      </c>
      <c r="E16" s="400">
        <f>771769+2798</f>
        <v>774567</v>
      </c>
      <c r="F16" s="400">
        <f>18802463+9646</f>
        <v>18812109</v>
      </c>
      <c r="G16" s="401">
        <f>3421314.4+1762</f>
        <v>3423076.4</v>
      </c>
      <c r="H16" s="397">
        <f>7331075+171227-872887</f>
        <v>6629415</v>
      </c>
      <c r="I16" s="398">
        <f>-111934-7389+481047</f>
        <v>361724</v>
      </c>
      <c r="J16" s="400">
        <f>6670990+53657+487186</f>
        <v>7211833</v>
      </c>
      <c r="K16" s="400">
        <f>13890131+217495+95346</f>
        <v>14202972</v>
      </c>
      <c r="L16" s="401">
        <f>4917682.358+295934</f>
        <v>5213616.358</v>
      </c>
      <c r="M16" s="397">
        <f>5338720+145566+577510</f>
        <v>6061796</v>
      </c>
      <c r="N16" s="398">
        <f>4875941+153454+314213</f>
        <v>5343608</v>
      </c>
      <c r="O16" s="400">
        <f>1879736-29822+1353988</f>
        <v>3203902</v>
      </c>
      <c r="P16" s="400">
        <f>12094397+269198+2245711</f>
        <v>14609306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v>-4</v>
      </c>
      <c r="AM16" s="400">
        <v>3081</v>
      </c>
      <c r="AN16" s="430">
        <v>3077</v>
      </c>
    </row>
    <row r="17" spans="1:40" s="65" customFormat="1" x14ac:dyDescent="0.2">
      <c r="A17" s="108"/>
      <c r="B17" s="416" t="s">
        <v>318</v>
      </c>
      <c r="C17" s="399">
        <f>26228744+38997</f>
        <v>26267741</v>
      </c>
      <c r="D17" s="400">
        <f>86556913+724</f>
        <v>86557637</v>
      </c>
      <c r="E17" s="400">
        <f>83477948-2798</f>
        <v>83475150</v>
      </c>
      <c r="F17" s="400">
        <f>196263605+36923</f>
        <v>196300528</v>
      </c>
      <c r="G17" s="450"/>
      <c r="H17" s="399">
        <f>248232612+1482637+4338168</f>
        <v>254053417</v>
      </c>
      <c r="I17" s="400">
        <f>219104036+437542+3142759</f>
        <v>222684337</v>
      </c>
      <c r="J17" s="400">
        <f>94703918-66671+3627457</f>
        <v>98264704</v>
      </c>
      <c r="K17" s="400">
        <f>562040566+1853508+11108384</f>
        <v>575002458</v>
      </c>
      <c r="L17" s="450"/>
      <c r="M17" s="399">
        <f>67922485+3303624+12725022</f>
        <v>83951131</v>
      </c>
      <c r="N17" s="400">
        <f>65909790+1116469+13269997</f>
        <v>80296256</v>
      </c>
      <c r="O17" s="400">
        <f>58848016-544+11582076</f>
        <v>70429548</v>
      </c>
      <c r="P17" s="400">
        <f>192680291+4419549+37577095</f>
        <v>234676935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-4</v>
      </c>
      <c r="AM17" s="400">
        <v>-2749</v>
      </c>
      <c r="AN17" s="430">
        <v>-2745</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77098661.420000002</v>
      </c>
      <c r="H19" s="455"/>
      <c r="I19" s="454"/>
      <c r="J19" s="454"/>
      <c r="K19" s="454"/>
      <c r="L19" s="396">
        <f>93027242.670116+3393075</f>
        <v>96420317.670116007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11115051-1611</f>
        <v>11113440</v>
      </c>
      <c r="H20" s="443"/>
      <c r="I20" s="441"/>
      <c r="J20" s="441"/>
      <c r="K20" s="441"/>
      <c r="L20" s="401">
        <f>13247705.629884+530469</f>
        <v>13778174.629884001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4035909.33-88</f>
        <v>4035821.33</v>
      </c>
      <c r="H21" s="443"/>
      <c r="I21" s="441"/>
      <c r="J21" s="441"/>
      <c r="K21" s="441"/>
      <c r="L21" s="401">
        <f>4959865.6321+191606</f>
        <v>5151471.6321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-7495525.82-151</f>
        <v>-7495676.8200000003</v>
      </c>
      <c r="H22" s="443"/>
      <c r="I22" s="441"/>
      <c r="J22" s="441"/>
      <c r="K22" s="441"/>
      <c r="L22" s="401">
        <f>-7077635.658-91433</f>
        <v>-7169068.6579999998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4035909.33-88</f>
        <v>4035821.33</v>
      </c>
      <c r="H23" s="443"/>
      <c r="I23" s="441"/>
      <c r="J23" s="441"/>
      <c r="K23" s="441"/>
      <c r="L23" s="401">
        <f>4959865.6321+191606</f>
        <v>5151471.6321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2421545.598-53</f>
        <v>2421492.5980000002</v>
      </c>
      <c r="H24" s="443"/>
      <c r="I24" s="441"/>
      <c r="J24" s="441"/>
      <c r="K24" s="441"/>
      <c r="L24" s="401">
        <f>2975919.37926+114963</f>
        <v>3090882.3792599998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18572274.73+63</f>
        <v>18572337.73</v>
      </c>
      <c r="H25" s="443"/>
      <c r="I25" s="441"/>
      <c r="J25" s="441"/>
      <c r="K25" s="441"/>
      <c r="L25" s="401">
        <f>23125253.619984+1018009</f>
        <v>24143262.619984001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18572274.73+63</f>
        <v>18572337.73</v>
      </c>
      <c r="H26" s="443"/>
      <c r="I26" s="441"/>
      <c r="J26" s="441"/>
      <c r="K26" s="441"/>
      <c r="L26" s="401">
        <f>23125253.619984+1018009</f>
        <v>24143262.619984001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21179315.452+1375</f>
        <v>21180690.452</v>
      </c>
      <c r="H27" s="443"/>
      <c r="I27" s="441"/>
      <c r="J27" s="441"/>
      <c r="K27" s="441"/>
      <c r="L27" s="401">
        <f>26741091.13924+1138999</f>
        <v>27880090.13924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65567226.27-63</f>
        <v>65567163.270000003</v>
      </c>
      <c r="H28" s="443"/>
      <c r="I28" s="441"/>
      <c r="J28" s="441"/>
      <c r="K28" s="441"/>
      <c r="L28" s="401">
        <f>80989741.380016+3110036</f>
        <v>84099777.380015999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16957910.998+99</f>
        <v>16958009.998</v>
      </c>
      <c r="H29" s="443"/>
      <c r="I29" s="441"/>
      <c r="J29" s="441"/>
      <c r="K29" s="441"/>
      <c r="L29" s="401">
        <f>21141307.367144+941367</f>
        <v>22082674.367144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2421545.598-53</f>
        <v>2421492.5980000002</v>
      </c>
      <c r="H30" s="443"/>
      <c r="I30" s="441"/>
      <c r="J30" s="441"/>
      <c r="K30" s="441"/>
      <c r="L30" s="471">
        <f>2975919.37926+114963</f>
        <v>3090882.3792599998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16957910.998+99</f>
        <v>16958009.998</v>
      </c>
      <c r="H31" s="443"/>
      <c r="I31" s="441"/>
      <c r="J31" s="441"/>
      <c r="K31" s="441"/>
      <c r="L31" s="401">
        <f>21141307.367144+941367</f>
        <v>22082674.367144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19564951.72+1410</f>
        <v>19566361.719999999</v>
      </c>
      <c r="H32" s="443"/>
      <c r="I32" s="441"/>
      <c r="J32" s="441"/>
      <c r="K32" s="441"/>
      <c r="L32" s="401">
        <f>24757144.8864+1062356</f>
        <v>25819500.886399999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67181590.002-99</f>
        <v>67181491.002000004</v>
      </c>
      <c r="H33" s="443"/>
      <c r="I33" s="441"/>
      <c r="J33" s="441"/>
      <c r="K33" s="441"/>
      <c r="L33" s="401">
        <f>82973687.63+3186678</f>
        <v>86160365.629999995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1.1476159081335342</v>
      </c>
      <c r="H34" s="462"/>
      <c r="I34" s="463"/>
      <c r="J34" s="463"/>
      <c r="K34" s="463"/>
      <c r="L34" s="469">
        <v>1.1211655806084599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5313575</v>
      </c>
      <c r="H35" s="443"/>
      <c r="I35" s="441"/>
      <c r="J35" s="441"/>
      <c r="K35" s="441"/>
      <c r="L35" s="477">
        <v>4806870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4372209+1</f>
        <v>4372210</v>
      </c>
      <c r="H36" s="443"/>
      <c r="I36" s="441"/>
      <c r="J36" s="441"/>
      <c r="K36" s="441"/>
      <c r="L36" s="478">
        <v>990737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f>4504+4</f>
        <v>4508</v>
      </c>
      <c r="D38" s="405">
        <v>21513</v>
      </c>
      <c r="E38" s="432">
        <v>14956.916666666666</v>
      </c>
      <c r="F38" s="432">
        <f>40973.9166666667+4</f>
        <v>40977.916666666701</v>
      </c>
      <c r="G38" s="448"/>
      <c r="H38" s="404">
        <f>55137+247+738</f>
        <v>56122</v>
      </c>
      <c r="I38" s="405">
        <f>42725+67+754</f>
        <v>43546</v>
      </c>
      <c r="J38" s="432">
        <f>17796.1666666667+752</f>
        <v>18548.166666666701</v>
      </c>
      <c r="K38" s="432">
        <f>115658.166666667+314+2244</f>
        <v>118216.16666666701</v>
      </c>
      <c r="L38" s="448"/>
      <c r="M38" s="404">
        <f>13757+461+2490</f>
        <v>16708</v>
      </c>
      <c r="N38" s="405">
        <f>12613+137+2365</f>
        <v>15115</v>
      </c>
      <c r="O38" s="432">
        <f>10145.3333333333+2097</f>
        <v>12242.333333333299</v>
      </c>
      <c r="P38" s="432">
        <f>36515.3333333333+598+6952</f>
        <v>44065.333333333299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1.3444173333333333E-2</v>
      </c>
      <c r="G39" s="461"/>
      <c r="H39" s="459"/>
      <c r="I39" s="460"/>
      <c r="J39" s="460"/>
      <c r="K39" s="439">
        <v>0</v>
      </c>
      <c r="L39" s="461"/>
      <c r="M39" s="459"/>
      <c r="N39" s="460"/>
      <c r="O39" s="460"/>
      <c r="P39" s="439">
        <v>1.4157546666666666E-2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1.3444173333333333E-2</v>
      </c>
      <c r="G42" s="447"/>
      <c r="H42" s="443"/>
      <c r="I42" s="441"/>
      <c r="J42" s="441"/>
      <c r="K42" s="436">
        <v>0</v>
      </c>
      <c r="L42" s="447"/>
      <c r="M42" s="443"/>
      <c r="N42" s="441"/>
      <c r="O42" s="441"/>
      <c r="P42" s="436">
        <v>1.4157546666666666E-2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0.94241596166404307</v>
      </c>
      <c r="D45" s="436">
        <v>1.0900314917654237</v>
      </c>
      <c r="E45" s="436">
        <v>0.86016503424353463</v>
      </c>
      <c r="F45" s="436">
        <v>0.97253364932331698</v>
      </c>
      <c r="G45" s="447"/>
      <c r="H45" s="438">
        <v>0.86261661703015879</v>
      </c>
      <c r="I45" s="436">
        <v>0.85282604743985635</v>
      </c>
      <c r="J45" s="436">
        <v>0.97646985418280163</v>
      </c>
      <c r="K45" s="436">
        <v>0.8779841809496719</v>
      </c>
      <c r="L45" s="447"/>
      <c r="M45" s="438">
        <v>0.85708707506799842</v>
      </c>
      <c r="N45" s="436">
        <v>0.8443543060901878</v>
      </c>
      <c r="O45" s="436">
        <v>0.81689127803391026</v>
      </c>
      <c r="P45" s="436">
        <v>0.84045508318232709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1.3444173333333333E-2</v>
      </c>
      <c r="G47" s="447"/>
      <c r="H47" s="443"/>
      <c r="I47" s="441"/>
      <c r="J47" s="441"/>
      <c r="K47" s="436">
        <v>0</v>
      </c>
      <c r="L47" s="447"/>
      <c r="M47" s="443"/>
      <c r="N47" s="441"/>
      <c r="O47" s="441"/>
      <c r="P47" s="436">
        <v>1.4157546666666666E-2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0.98599999999999999</v>
      </c>
      <c r="G48" s="447"/>
      <c r="H48" s="443"/>
      <c r="I48" s="441"/>
      <c r="J48" s="441"/>
      <c r="K48" s="436">
        <v>0.878</v>
      </c>
      <c r="L48" s="447"/>
      <c r="M48" s="443"/>
      <c r="N48" s="441"/>
      <c r="O48" s="441"/>
      <c r="P48" s="436">
        <v>0.85499999999999998</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0.98599999999999999</v>
      </c>
      <c r="G51" s="447"/>
      <c r="H51" s="444"/>
      <c r="I51" s="442"/>
      <c r="J51" s="442"/>
      <c r="K51" s="436">
        <v>0.878</v>
      </c>
      <c r="L51" s="447"/>
      <c r="M51" s="444"/>
      <c r="N51" s="442"/>
      <c r="O51" s="442"/>
      <c r="P51" s="436">
        <v>0.85499999999999998</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83477948</v>
      </c>
      <c r="G52" s="447"/>
      <c r="H52" s="443"/>
      <c r="I52" s="441"/>
      <c r="J52" s="441"/>
      <c r="K52" s="400">
        <f>94703918+3627457</f>
        <v>98331375</v>
      </c>
      <c r="L52" s="447"/>
      <c r="M52" s="443"/>
      <c r="N52" s="441"/>
      <c r="O52" s="441"/>
      <c r="P52" s="400">
        <f>58848016+11582076</f>
        <v>70430092</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1295710</v>
      </c>
      <c r="H58" s="452"/>
      <c r="I58" s="453"/>
      <c r="J58" s="453"/>
      <c r="K58" s="453"/>
      <c r="L58" s="400">
        <f>419655-30142</f>
        <v>389513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74100857</v>
      </c>
      <c r="H59" s="443"/>
      <c r="I59" s="441"/>
      <c r="J59" s="472"/>
      <c r="K59" s="441"/>
      <c r="L59" s="398">
        <f>42602275+1614023</f>
        <v>44216298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75396567</v>
      </c>
      <c r="H60" s="443"/>
      <c r="I60" s="441"/>
      <c r="J60" s="472"/>
      <c r="K60" s="441"/>
      <c r="L60" s="398">
        <f>43021930+1583881</f>
        <v>44605811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89" yWindow="17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8312</v>
      </c>
      <c r="D4" s="104">
        <f>12563+375</f>
        <v>12938</v>
      </c>
      <c r="E4" s="104">
        <f>4308+1212</f>
        <v>5520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92667</v>
      </c>
      <c r="F16" s="99">
        <v>0</v>
      </c>
      <c r="G16" s="99">
        <v>0</v>
      </c>
      <c r="H16" s="99">
        <v>0</v>
      </c>
      <c r="I16" s="178"/>
      <c r="J16" s="178"/>
      <c r="K16" s="186">
        <v>0</v>
      </c>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559</v>
      </c>
      <c r="C8" s="28"/>
      <c r="D8" s="29"/>
      <c r="E8" s="29"/>
      <c r="F8" s="29"/>
      <c r="G8" s="29"/>
      <c r="H8" s="29"/>
      <c r="I8" s="27"/>
      <c r="J8" s="27"/>
      <c r="K8" s="2"/>
    </row>
    <row r="9" spans="1:12" s="5" customFormat="1" ht="18" customHeight="1" x14ac:dyDescent="0.2">
      <c r="B9" s="61" t="s">
        <v>562</v>
      </c>
      <c r="C9" s="28"/>
      <c r="D9" s="29"/>
      <c r="E9" s="29"/>
      <c r="F9" s="29"/>
      <c r="G9" s="29"/>
      <c r="H9" s="29"/>
      <c r="I9" s="27"/>
      <c r="J9" s="27"/>
      <c r="K9" s="2"/>
    </row>
    <row r="10" spans="1:12" s="5" customFormat="1" ht="18" customHeight="1" x14ac:dyDescent="0.2">
      <c r="B10" s="61" t="s">
        <v>560</v>
      </c>
      <c r="C10" s="28"/>
      <c r="D10" s="29"/>
      <c r="E10" s="29"/>
      <c r="F10" s="29"/>
      <c r="G10" s="29"/>
      <c r="H10" s="29"/>
      <c r="I10" s="27"/>
      <c r="J10" s="27"/>
      <c r="K10" s="2"/>
    </row>
    <row r="11" spans="1:12" s="5" customFormat="1" ht="18" customHeight="1" x14ac:dyDescent="0.2">
      <c r="B11" s="61" t="s">
        <v>561</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559</v>
      </c>
      <c r="C22" s="29"/>
      <c r="D22" s="29"/>
      <c r="E22" s="29"/>
      <c r="F22" s="29"/>
      <c r="G22" s="29"/>
      <c r="H22" s="29"/>
      <c r="I22" s="29"/>
      <c r="J22" s="29"/>
    </row>
    <row r="23" spans="2:11" s="5" customFormat="1" ht="19.149999999999999" customHeight="1" x14ac:dyDescent="0.2">
      <c r="B23" s="61" t="s">
        <v>560</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t="s">
        <v>507</v>
      </c>
      <c r="E6" s="7"/>
    </row>
    <row r="7" spans="1:5" ht="35.25" customHeight="1" x14ac:dyDescent="0.2">
      <c r="B7" s="134"/>
      <c r="C7" s="113"/>
      <c r="D7" s="137" t="s">
        <v>508</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513</v>
      </c>
      <c r="E27" s="7"/>
    </row>
    <row r="28" spans="2:5" ht="35.25" customHeight="1" x14ac:dyDescent="0.2">
      <c r="B28" s="134"/>
      <c r="C28" s="113"/>
      <c r="D28" s="137" t="s">
        <v>514</v>
      </c>
      <c r="E28" s="7"/>
    </row>
    <row r="29" spans="2:5" ht="35.25" customHeight="1" x14ac:dyDescent="0.2">
      <c r="B29" s="134"/>
      <c r="C29" s="113"/>
      <c r="D29" s="137" t="s">
        <v>515</v>
      </c>
      <c r="E29" s="7"/>
    </row>
    <row r="30" spans="2:5" ht="35.25" customHeight="1" x14ac:dyDescent="0.2">
      <c r="B30" s="134" t="s">
        <v>510</v>
      </c>
      <c r="C30" s="113"/>
      <c r="D30" s="137" t="s">
        <v>516</v>
      </c>
      <c r="E30" s="7"/>
    </row>
    <row r="31" spans="2:5" ht="35.25" customHeight="1" x14ac:dyDescent="0.2">
      <c r="B31" s="134" t="s">
        <v>511</v>
      </c>
      <c r="C31" s="113"/>
      <c r="D31" s="137" t="s">
        <v>517</v>
      </c>
      <c r="E31" s="7"/>
    </row>
    <row r="32" spans="2:5" ht="35.25" customHeight="1" x14ac:dyDescent="0.2">
      <c r="B32" s="134" t="s">
        <v>512</v>
      </c>
      <c r="C32" s="113"/>
      <c r="D32" s="137" t="s">
        <v>518</v>
      </c>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c r="C35" s="113"/>
      <c r="D35" s="137" t="s">
        <v>521</v>
      </c>
      <c r="E35" s="7"/>
    </row>
    <row r="36" spans="2:5" ht="35.25" customHeight="1" x14ac:dyDescent="0.2">
      <c r="B36" s="134"/>
      <c r="C36" s="113"/>
      <c r="D36" s="137" t="s">
        <v>522</v>
      </c>
      <c r="E36" s="7"/>
    </row>
    <row r="37" spans="2:5" ht="35.25" customHeight="1" x14ac:dyDescent="0.2">
      <c r="B37" s="134"/>
      <c r="C37" s="113"/>
      <c r="D37" s="137" t="s">
        <v>523</v>
      </c>
      <c r="E37" s="7"/>
    </row>
    <row r="38" spans="2:5" ht="35.25" customHeight="1" x14ac:dyDescent="0.2">
      <c r="B38" s="134"/>
      <c r="C38" s="113"/>
      <c r="D38" s="137" t="s">
        <v>524</v>
      </c>
      <c r="E38" s="7"/>
    </row>
    <row r="39" spans="2:5" ht="35.25" customHeight="1" x14ac:dyDescent="0.2">
      <c r="B39" s="134"/>
      <c r="C39" s="114"/>
      <c r="D39" s="137" t="s">
        <v>525</v>
      </c>
      <c r="E39" s="7"/>
    </row>
    <row r="40" spans="2:5" ht="15" x14ac:dyDescent="0.25">
      <c r="B40" s="174" t="s">
        <v>126</v>
      </c>
      <c r="C40" s="175"/>
      <c r="D40" s="176"/>
      <c r="E40" s="7"/>
    </row>
    <row r="41" spans="2:5" ht="35.25" customHeight="1" x14ac:dyDescent="0.2">
      <c r="B41" s="134" t="s">
        <v>526</v>
      </c>
      <c r="C41" s="113"/>
      <c r="D41" s="137" t="s">
        <v>527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528</v>
      </c>
      <c r="C48" s="113"/>
      <c r="D48" s="137" t="s">
        <v>527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529</v>
      </c>
      <c r="C56" s="115"/>
      <c r="D56" s="137" t="s">
        <v>530</v>
      </c>
      <c r="E56" s="7"/>
    </row>
    <row r="57" spans="2:5" ht="35.25" customHeight="1" x14ac:dyDescent="0.2">
      <c r="B57" s="134"/>
      <c r="C57" s="115"/>
      <c r="D57" s="137" t="s">
        <v>531</v>
      </c>
      <c r="E57" s="7"/>
    </row>
    <row r="58" spans="2:5" ht="35.25" customHeight="1" x14ac:dyDescent="0.2">
      <c r="B58" s="134"/>
      <c r="C58" s="115"/>
      <c r="D58" s="137" t="s">
        <v>532</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533</v>
      </c>
      <c r="C67" s="115"/>
      <c r="D67" s="137" t="s">
        <v>534</v>
      </c>
      <c r="E67" s="7"/>
    </row>
    <row r="68" spans="2:5" ht="35.25" customHeight="1" x14ac:dyDescent="0.2">
      <c r="B68" s="134"/>
      <c r="C68" s="115"/>
      <c r="D68" s="137" t="s">
        <v>535</v>
      </c>
      <c r="E68" s="7"/>
    </row>
    <row r="69" spans="2:5" ht="35.25" customHeight="1" x14ac:dyDescent="0.2">
      <c r="B69" s="134"/>
      <c r="C69" s="115"/>
      <c r="D69" s="137" t="s">
        <v>536</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537</v>
      </c>
      <c r="C78" s="115"/>
      <c r="D78" s="137" t="s">
        <v>538</v>
      </c>
      <c r="E78" s="7"/>
    </row>
    <row r="79" spans="2:5" ht="35.25" customHeight="1" x14ac:dyDescent="0.2">
      <c r="B79" s="134"/>
      <c r="C79" s="115"/>
      <c r="D79" s="137" t="s">
        <v>539</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540</v>
      </c>
      <c r="C89" s="115"/>
      <c r="D89" s="137" t="s">
        <v>541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542</v>
      </c>
      <c r="C100" s="115"/>
      <c r="D100" s="137" t="s">
        <v>543</v>
      </c>
      <c r="E100" s="7"/>
    </row>
    <row r="101" spans="2:5" ht="35.25" customHeight="1" x14ac:dyDescent="0.2">
      <c r="B101" s="134"/>
      <c r="C101" s="115"/>
      <c r="D101" s="137" t="s">
        <v>544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545</v>
      </c>
      <c r="C111" s="115"/>
      <c r="D111" s="137" t="s">
        <v>546</v>
      </c>
      <c r="E111" s="27"/>
    </row>
    <row r="112" spans="2:5" s="5" customFormat="1" ht="35.25" customHeight="1" x14ac:dyDescent="0.2">
      <c r="B112" s="134"/>
      <c r="C112" s="115"/>
      <c r="D112" s="137" t="s">
        <v>547</v>
      </c>
      <c r="E112" s="27"/>
    </row>
    <row r="113" spans="2:5" s="5" customFormat="1" ht="35.25" customHeight="1" x14ac:dyDescent="0.2">
      <c r="B113" s="134"/>
      <c r="C113" s="115"/>
      <c r="D113" s="137" t="s">
        <v>548</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549</v>
      </c>
      <c r="C123" s="113"/>
      <c r="D123" s="137" t="s">
        <v>550</v>
      </c>
      <c r="E123" s="7"/>
    </row>
    <row r="124" spans="2:5" s="5" customFormat="1" ht="35.25" customHeight="1" x14ac:dyDescent="0.2">
      <c r="B124" s="134"/>
      <c r="C124" s="113"/>
      <c r="D124" s="137" t="s">
        <v>551</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552</v>
      </c>
      <c r="C134" s="113"/>
      <c r="D134" s="137" t="s">
        <v>550</v>
      </c>
      <c r="E134" s="27"/>
    </row>
    <row r="135" spans="2:5" s="5" customFormat="1" ht="35.25" customHeight="1" x14ac:dyDescent="0.2">
      <c r="B135" s="134"/>
      <c r="C135" s="113"/>
      <c r="D135" s="137" t="s">
        <v>551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553</v>
      </c>
      <c r="C145" s="113"/>
      <c r="D145" s="137" t="s">
        <v>550</v>
      </c>
      <c r="E145" s="27"/>
    </row>
    <row r="146" spans="2:5" s="5" customFormat="1" ht="35.25" customHeight="1" x14ac:dyDescent="0.2">
      <c r="B146" s="134"/>
      <c r="C146" s="113"/>
      <c r="D146" s="137" t="s">
        <v>551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554</v>
      </c>
      <c r="C156" s="113"/>
      <c r="D156" s="137" t="s">
        <v>550</v>
      </c>
      <c r="E156" s="27"/>
    </row>
    <row r="157" spans="2:5" s="5" customFormat="1" ht="35.25" customHeight="1" x14ac:dyDescent="0.2">
      <c r="B157" s="134"/>
      <c r="C157" s="113"/>
      <c r="D157" s="137" t="s">
        <v>551</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555</v>
      </c>
      <c r="C167" s="113"/>
      <c r="D167" s="137" t="s">
        <v>550</v>
      </c>
      <c r="E167" s="27"/>
    </row>
    <row r="168" spans="2:5" s="5" customFormat="1" ht="35.25" customHeight="1" x14ac:dyDescent="0.2">
      <c r="B168" s="134"/>
      <c r="C168" s="113"/>
      <c r="D168" s="137" t="s">
        <v>551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556</v>
      </c>
      <c r="C178" s="113"/>
      <c r="D178" s="137" t="s">
        <v>550</v>
      </c>
      <c r="E178" s="27"/>
    </row>
    <row r="179" spans="2:5" s="5" customFormat="1" ht="35.25" customHeight="1" x14ac:dyDescent="0.2">
      <c r="B179" s="134"/>
      <c r="C179" s="113"/>
      <c r="D179" s="137" t="s">
        <v>551</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557</v>
      </c>
      <c r="C189" s="113"/>
      <c r="D189" s="137" t="s">
        <v>550</v>
      </c>
      <c r="E189" s="27"/>
    </row>
    <row r="190" spans="2:5" s="5" customFormat="1" ht="35.25" customHeight="1" x14ac:dyDescent="0.2">
      <c r="B190" s="134"/>
      <c r="C190" s="113"/>
      <c r="D190" s="137" t="s">
        <v>551</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558</v>
      </c>
      <c r="C200" s="113"/>
      <c r="D200" s="137" t="s">
        <v>550</v>
      </c>
      <c r="E200" s="27"/>
    </row>
    <row r="201" spans="2:5" s="5" customFormat="1" ht="35.25" customHeight="1" x14ac:dyDescent="0.2">
      <c r="B201" s="134"/>
      <c r="C201" s="113"/>
      <c r="D201" s="137" t="s">
        <v>551</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2016-07-27T16:34:56Z</cp:lastPrinted>
  <dcterms:created xsi:type="dcterms:W3CDTF">2012-03-15T16:14:51Z</dcterms:created>
  <dcterms:modified xsi:type="dcterms:W3CDTF">2016-07-28T12:26:18Z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