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I5" i="4" l="1"/>
  <c r="E5" i="4"/>
  <c r="D5" i="4"/>
  <c r="F5" i="4"/>
  <c r="G5" i="4"/>
  <c r="H5" i="4"/>
  <c r="AN40" i="10" l="1"/>
  <c r="AM37" i="10"/>
  <c r="AN37" i="10" s="1"/>
  <c r="AN41" i="10" s="1"/>
  <c r="AL17" i="10"/>
  <c r="AM16" i="10"/>
  <c r="AM15" i="10"/>
  <c r="AL13" i="10"/>
  <c r="AM7" i="10"/>
  <c r="AM6" i="10"/>
  <c r="AB40" i="10"/>
  <c r="AA37" i="10"/>
  <c r="AB37" i="10" s="1"/>
  <c r="X40" i="10"/>
  <c r="AA16" i="10"/>
  <c r="AB16" i="10" s="1"/>
  <c r="AA15" i="10"/>
  <c r="AB15" i="10" s="1"/>
  <c r="Z17" i="10"/>
  <c r="Y17" i="10"/>
  <c r="AA7" i="10"/>
  <c r="AB7" i="10" s="1"/>
  <c r="AA6" i="10"/>
  <c r="W16" i="10"/>
  <c r="X16" i="10" s="1"/>
  <c r="W15" i="10"/>
  <c r="X15" i="10" s="1"/>
  <c r="S16" i="10"/>
  <c r="T16" i="10" s="1"/>
  <c r="S15" i="10"/>
  <c r="T15" i="10" s="1"/>
  <c r="Z13" i="10"/>
  <c r="Y13" i="10"/>
  <c r="W7" i="10"/>
  <c r="X7" i="10" s="1"/>
  <c r="W6" i="10"/>
  <c r="X6" i="10" s="1"/>
  <c r="M44" i="10"/>
  <c r="P40" i="10"/>
  <c r="O37" i="10"/>
  <c r="P37" i="10" s="1"/>
  <c r="N17" i="10"/>
  <c r="N44" i="10" s="1"/>
  <c r="M17" i="10"/>
  <c r="O16" i="10"/>
  <c r="P16" i="10" s="1"/>
  <c r="O15" i="10"/>
  <c r="N12" i="10"/>
  <c r="M12" i="10"/>
  <c r="O7" i="10"/>
  <c r="P7" i="10" s="1"/>
  <c r="O6" i="10"/>
  <c r="K40" i="10"/>
  <c r="J16" i="10"/>
  <c r="K16" i="10" s="1"/>
  <c r="J11" i="10"/>
  <c r="K11" i="10" s="1"/>
  <c r="L10" i="10"/>
  <c r="J10" i="10"/>
  <c r="K10" i="10" s="1"/>
  <c r="L6" i="10"/>
  <c r="J6" i="10"/>
  <c r="K6" i="10" s="1"/>
  <c r="F40" i="10"/>
  <c r="G16" i="10"/>
  <c r="E16" i="10"/>
  <c r="F16" i="10" s="1"/>
  <c r="E11" i="10"/>
  <c r="F11" i="10" s="1"/>
  <c r="G10" i="10"/>
  <c r="E10" i="10"/>
  <c r="F10" i="10" s="1"/>
  <c r="G9" i="10"/>
  <c r="E9" i="10"/>
  <c r="F9" i="10" s="1"/>
  <c r="F8" i="10"/>
  <c r="G6" i="10"/>
  <c r="E6" i="10"/>
  <c r="F6" i="10" s="1"/>
  <c r="Q60" i="4"/>
  <c r="P60" i="4"/>
  <c r="O60" i="4"/>
  <c r="N60" i="4"/>
  <c r="M60" i="4"/>
  <c r="L60" i="4"/>
  <c r="K60" i="4"/>
  <c r="J60" i="4"/>
  <c r="I60" i="4"/>
  <c r="H60" i="4"/>
  <c r="G60" i="4"/>
  <c r="F60" i="4"/>
  <c r="E60" i="4"/>
  <c r="D60" i="4"/>
  <c r="AC22" i="4"/>
  <c r="AB22" i="4"/>
  <c r="AA22" i="4"/>
  <c r="Z22" i="4"/>
  <c r="Y22" i="4"/>
  <c r="X22" i="4"/>
  <c r="W22" i="4"/>
  <c r="V22" i="4"/>
  <c r="U22" i="4"/>
  <c r="T22" i="4"/>
  <c r="S22" i="4"/>
  <c r="R22" i="4"/>
  <c r="Q22" i="4"/>
  <c r="P22" i="4"/>
  <c r="O22" i="4"/>
  <c r="N22" i="4"/>
  <c r="M22" i="4"/>
  <c r="L22" i="4"/>
  <c r="K22" i="4"/>
  <c r="J22" i="4"/>
  <c r="I22" i="4"/>
  <c r="H22" i="4"/>
  <c r="G22" i="4"/>
  <c r="F22" i="4"/>
  <c r="E22" i="4"/>
  <c r="D22" i="4"/>
  <c r="AT60" i="4"/>
  <c r="AS60" i="4"/>
  <c r="AU12" i="4"/>
  <c r="AT12" i="4"/>
  <c r="AS12" i="4"/>
  <c r="AR12" i="4"/>
  <c r="AQ12" i="4"/>
  <c r="AP12" i="4"/>
  <c r="AO12" i="4"/>
  <c r="AN12" i="4"/>
  <c r="AU5" i="4"/>
  <c r="AT5" i="4"/>
  <c r="AS5" i="4"/>
  <c r="AR5" i="4"/>
  <c r="AQ5" i="4"/>
  <c r="AP5" i="4"/>
  <c r="AO5" i="4"/>
  <c r="AN5" i="4"/>
  <c r="AC5" i="4"/>
  <c r="AB5" i="4"/>
  <c r="AA5" i="4"/>
  <c r="Z5" i="4"/>
  <c r="Y5" i="4"/>
  <c r="X5" i="4"/>
  <c r="W5" i="4"/>
  <c r="V5" i="4"/>
  <c r="U5" i="4"/>
  <c r="T5" i="4"/>
  <c r="S5" i="4"/>
  <c r="R5" i="4"/>
  <c r="Q5" i="4"/>
  <c r="P5" i="4"/>
  <c r="O5" i="4"/>
  <c r="N5" i="4"/>
  <c r="M5" i="4"/>
  <c r="L5" i="4"/>
  <c r="K12" i="4"/>
  <c r="J12" i="4"/>
  <c r="I12" i="4"/>
  <c r="H12" i="4"/>
  <c r="G12" i="4"/>
  <c r="F12" i="4"/>
  <c r="E12" i="4"/>
  <c r="D12" i="4"/>
  <c r="K5" i="4"/>
  <c r="J5" i="4"/>
  <c r="AR55" i="18"/>
  <c r="AQ55" i="18"/>
  <c r="AP55" i="18"/>
  <c r="AO55" i="18"/>
  <c r="AN55" i="18"/>
  <c r="AR54" i="18"/>
  <c r="AQ54" i="18"/>
  <c r="AP54" i="18"/>
  <c r="AO54" i="18"/>
  <c r="AN54" i="18"/>
  <c r="AC55" i="18"/>
  <c r="AB55" i="18"/>
  <c r="AA55" i="18"/>
  <c r="Z55" i="18"/>
  <c r="Y55" i="18"/>
  <c r="X55" i="18"/>
  <c r="AC54" i="18"/>
  <c r="AB54" i="18"/>
  <c r="AA54" i="18"/>
  <c r="Z54" i="18"/>
  <c r="Y54" i="18"/>
  <c r="X54" i="18"/>
  <c r="AU55" i="18"/>
  <c r="AT55" i="18"/>
  <c r="AS55" i="18"/>
  <c r="AU54" i="18"/>
  <c r="AT54" i="18"/>
  <c r="AS54" i="18"/>
  <c r="P54" i="18"/>
  <c r="Q54" i="18"/>
  <c r="H55" i="18"/>
  <c r="G55" i="18"/>
  <c r="F55" i="18"/>
  <c r="E55" i="18"/>
  <c r="D55" i="18"/>
  <c r="H54" i="18"/>
  <c r="G54" i="18"/>
  <c r="F54" i="18"/>
  <c r="E54" i="18"/>
  <c r="D54" i="18"/>
  <c r="K55" i="18"/>
  <c r="J55" i="18"/>
  <c r="K54" i="18"/>
  <c r="J54" i="18"/>
  <c r="I54" i="18"/>
  <c r="AN7" i="10" l="1"/>
  <c r="G7" i="10"/>
  <c r="AN6" i="10"/>
  <c r="AN13" i="10" s="1"/>
  <c r="AN16" i="10"/>
  <c r="AM17" i="10"/>
  <c r="O12" i="10"/>
  <c r="T17" i="10"/>
  <c r="T52" i="10" s="1"/>
  <c r="AA13" i="10"/>
  <c r="AB17" i="10"/>
  <c r="AB52" i="10" s="1"/>
  <c r="AB41" i="10"/>
  <c r="P51" i="10"/>
  <c r="V17" i="10"/>
  <c r="E15" i="10"/>
  <c r="G15" i="10"/>
  <c r="L7" i="10"/>
  <c r="L29" i="10" s="1"/>
  <c r="J15" i="10"/>
  <c r="K15" i="10" s="1"/>
  <c r="O17" i="10"/>
  <c r="P41" i="10"/>
  <c r="U17" i="10"/>
  <c r="X13" i="10" s="1"/>
  <c r="AM13" i="10"/>
  <c r="W37" i="10"/>
  <c r="X37" i="10" s="1"/>
  <c r="X41" i="10" s="1"/>
  <c r="L20" i="10"/>
  <c r="P6" i="10"/>
  <c r="AN38" i="10"/>
  <c r="AN15" i="10"/>
  <c r="AB38" i="10"/>
  <c r="AA17" i="10"/>
  <c r="AB6" i="10"/>
  <c r="AB13" i="10" s="1"/>
  <c r="X17" i="10"/>
  <c r="V13" i="10"/>
  <c r="W13" i="10"/>
  <c r="W17" i="10"/>
  <c r="U13" i="10"/>
  <c r="S17" i="10"/>
  <c r="P15" i="10"/>
  <c r="P17" i="10" s="1"/>
  <c r="J7" i="10"/>
  <c r="E7" i="10"/>
  <c r="AN17" i="10" l="1"/>
  <c r="AN52" i="10" s="1"/>
  <c r="L21" i="10"/>
  <c r="O44" i="10"/>
  <c r="P38" i="10" s="1"/>
  <c r="P12" i="10"/>
  <c r="P44" i="10" s="1"/>
  <c r="P46" i="10" s="1"/>
  <c r="P47" i="10" s="1"/>
  <c r="P50" i="10" s="1"/>
  <c r="P52" i="10" s="1"/>
  <c r="L19" i="10"/>
  <c r="L24" i="10" s="1"/>
  <c r="G25" i="10"/>
  <c r="G29" i="10"/>
  <c r="X52" i="10"/>
  <c r="L28" i="10"/>
  <c r="L25" i="10"/>
  <c r="L23" i="10" s="1"/>
  <c r="L27" i="10" s="1"/>
  <c r="F15" i="10"/>
  <c r="G19" i="10"/>
  <c r="X38" i="10"/>
  <c r="G20" i="10"/>
  <c r="K7" i="10"/>
  <c r="I12" i="10" s="1"/>
  <c r="F7" i="10"/>
  <c r="F17" i="10" l="1"/>
  <c r="E37" i="10"/>
  <c r="F37" i="10" s="1"/>
  <c r="F51" i="10" s="1"/>
  <c r="D12" i="10"/>
  <c r="L31" i="10"/>
  <c r="L32" i="10" s="1"/>
  <c r="L33" i="10" s="1"/>
  <c r="L26" i="10"/>
  <c r="L30" i="10" s="1"/>
  <c r="J17" i="10"/>
  <c r="E12" i="10"/>
  <c r="I17" i="10"/>
  <c r="I44" i="10" s="1"/>
  <c r="C12" i="10"/>
  <c r="H17" i="10"/>
  <c r="G24" i="10"/>
  <c r="G23" i="10" s="1"/>
  <c r="G27" i="10" s="1"/>
  <c r="G21" i="10"/>
  <c r="J37" i="10"/>
  <c r="J12" i="10"/>
  <c r="D17" i="10"/>
  <c r="D44" i="10" s="1"/>
  <c r="C17" i="10"/>
  <c r="H12" i="10"/>
  <c r="G28" i="10"/>
  <c r="E17" i="10"/>
  <c r="K17" i="10"/>
  <c r="K12" i="10" l="1"/>
  <c r="E44" i="10"/>
  <c r="G26" i="10"/>
  <c r="G30" i="10" s="1"/>
  <c r="G31" i="10"/>
  <c r="G32" i="10" s="1"/>
  <c r="G33" i="10" s="1"/>
  <c r="H44" i="10"/>
  <c r="F12" i="10"/>
  <c r="F44" i="10" s="1"/>
  <c r="K37" i="10"/>
  <c r="J44" i="10"/>
  <c r="C44" i="10"/>
  <c r="F41" i="10" l="1"/>
  <c r="F46" i="10" s="1"/>
  <c r="F47" i="10" s="1"/>
  <c r="F50" i="10" s="1"/>
  <c r="F52" i="10" s="1"/>
  <c r="K51" i="10"/>
  <c r="K41" i="10"/>
  <c r="K44" i="10"/>
  <c r="K46" i="10" l="1"/>
  <c r="K47" i="10" s="1"/>
  <c r="K50" i="10" s="1"/>
  <c r="K52" i="10"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<sst xmlns="http://schemas.openxmlformats.org/spreadsheetml/2006/main" count="565" uniqueCount="503">
  <si>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</si>
  <si>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</si>
  <si>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</si>
  <si>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</si>
  <si>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</si>
  <si>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</si>
  <si>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</si>
  <si>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</si>
  <si>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</si>
  <si>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</si>
  <si>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</si>
  <si>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</si>
  <si>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</si>
  <si>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</si>
  <si>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</si>
  <si>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</si>
  <si>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</si>
  <si>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</si>
  <si>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</si>
  <si>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</si>
  <si>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</si>
  <si>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</si>
  <si>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</si>
  <si>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</si>
  <si>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</si>
  <si>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</si>
  <si>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</si>
  <si>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</si>
  <si>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</si>
  <si>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</si>
  <si>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</si>
  <si>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</si>
  <si>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</si>
  <si>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</si>
  <si>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</si>
  <si>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</si>
  <si>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</si>
  <si>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</si>
  <si>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</si>
  <si>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</si>
  <si>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</si>
  <si>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</si>
  <si>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</si>
  <si>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</si>
  <si>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</si>
  <si>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</si>
  <si>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</si>
  <si>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</si>
  <si>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</si>
  <si>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</si>
  <si>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</si>
  <si>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</si>
  <si>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</si>
  <si>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</si>
  <si>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</si>
  <si>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</si>
  <si>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</si>
  <si>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</si>
  <si>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</si>
  <si>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</si>
  <si>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</si>
  <si>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</si>
  <si>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</si>
  <si>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</si>
  <si>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</si>
  <si>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</si>
  <si>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</si>
  <si>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</si>
  <si>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</si>
  <si>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</si>
  <si>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</si>
  <si>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</si>
  <si>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</si>
  <si>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</si>
  <si>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</si>
  <si>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</si>
  <si>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</si>
  <si>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</si>
  <si>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</si>
  <si>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</si>
  <si>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</si>
  <si>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</si>
  <si>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</si>
  <si>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</si>
  <si>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</si>
  <si>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</si>
  <si>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</si>
  <si>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</si>
  <si>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</si>
  <si>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</si>
  <si>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</si>
  <si>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</si>
  <si>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</si>
  <si>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</si>
  <si>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</si>
  <si>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</si>
  <si>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</si>
  <si>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</si>
  <si>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</si>
  <si>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</si>
  <si>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</si>
  <si>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</si>
  <si>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</si>
  <si>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</si>
  <si>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</si>
  <si>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</si>
  <si>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</si>
  <si>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</si>
  <si>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</si>
  <si>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</si>
  <si>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</si>
  <si>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</si>
  <si>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</si>
  <si>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</si>
  <si>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</si>
  <si>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</si>
  <si>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</si>
  <si>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</si>
  <si>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</si>
  <si>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</si>
  <si>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</si>
  <si>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</si>
  <si>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</si>
  <si>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</si>
  <si>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</si>
  <si>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</si>
  <si>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</si>
  <si>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</si>
  <si>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</si>
  <si>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</si>
  <si>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</si>
  <si>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</si>
  <si>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</si>
  <si>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</si>
  <si>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</si>
  <si>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</si>
  <si>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</si>
  <si>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</si>
  <si>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</si>
  <si>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</si>
  <si>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</si>
  <si>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</si>
  <si>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</si>
  <si>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</si>
  <si>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</si>
  <si>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</si>
  <si>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</si>
  <si>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</si>
  <si>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</si>
  <si>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</si>
  <si>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</si>
  <si>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</si>
  <si>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</si>
  <si>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</si>
  <si>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</si>
  <si>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</si>
  <si>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</si>
  <si>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</si>
  <si>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</si>
  <si>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</si>
  <si>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</si>
  <si>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</si>
  <si>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</si>
  <si>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</si>
  <si>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</si>
  <si>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</si>
  <si>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</si>
  <si>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</si>
  <si>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</si>
  <si>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</si>
  <si>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</si>
  <si>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</si>
  <si>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</si>
  <si>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</si>
  <si>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</si>
  <si>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</si>
  <si>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</si>
  <si>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</si>
  <si>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</si>
  <si>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</si>
  <si>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</si>
  <si>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</si>
  <si>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</si>
  <si>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</si>
  <si>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</si>
  <si>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</si>
  <si>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</si>
  <si>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</si>
  <si>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</si>
  <si>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</si>
  <si>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</si>
  <si>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</si>
  <si>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</si>
  <si>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</si>
  <si>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</si>
  <si>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</si>
  <si>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</si>
  <si>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</si>
  <si>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</si>
  <si>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</si>
  <si>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</si>
  <si>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</si>
  <si>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</si>
  <si>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</si>
  <si>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</si>
  <si>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</si>
  <si>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</si>
  <si>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</si>
  <si>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</si>
  <si>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</si>
  <si>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</si>
  <si>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</si>
  <si>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</si>
  <si>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</si>
  <si>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</si>
  <si>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</si>
  <si>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</si>
  <si>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</si>
  <si>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</si>
  <si>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</si>
  <si>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</si>
  <si>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</si>
  <si>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</si>
  <si>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</si>
  <si>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</si>
  <si>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</si>
  <si>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</si>
  <si>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</si>
  <si>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</si>
  <si>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</si>
  <si>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</si>
  <si>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</si>
  <si>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</si>
  <si>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</si>
  <si>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</si>
  <si>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</si>
  <si>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</si>
  <si>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</si>
  <si>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</si>
  <si>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</si>
  <si>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</si>
  <si>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</si>
  <si>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</si>
  <si>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</si>
  <si>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</si>
  <si>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</si>
  <si>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</si>
  <si>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</si>
  <si>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</si>
  <si>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</si>
  <si>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</si>
  <si>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</si>
  <si>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</si>
  <si>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</si>
  <si>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</si>
  <si>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</si>
  <si>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</si>
  <si>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</si>
  <si>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</si>
  <si>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</si>
  <si>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</si>
  <si>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</si>
  <si>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</si>
  <si>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</si>
  <si>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</si>
  <si>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</si>
  <si>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</si>
  <si>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</si>
  <si>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</si>
  <si>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</si>
  <si>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</si>
  <si>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</si>
  <si>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</si>
  <si>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</si>
  <si>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</si>
  <si>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</si>
  <si>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</si>
  <si>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</si>
  <si>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</si>
  <si>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</si>
  <si>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</si>
  <si>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</si>
  <si>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</si>
  <si>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</si>
  <si>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</si>
  <si>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</si>
  <si>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</si>
  <si>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</si>
  <si>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</si>
  <si>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</si>
  <si>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</si>
  <si>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</si>
  <si>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</si>
  <si>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</si>
  <si>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</si>
  <si>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</si>
  <si>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</si>
  <si>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</si>
  <si>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</si>
  <si>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</si>
  <si>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</si>
  <si>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</si>
  <si>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</si>
  <si>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</si>
  <si>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</si>
  <si>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</si>
  <si>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</si>
  <si>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</si>
  <si>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</si>
  <si>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</si>
  <si>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</si>
  <si>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</si>
  <si>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</si>
  <si>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</si>
  <si>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</si>
  <si>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</si>
  <si>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</si>
  <si>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</si>
  <si>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</si>
  <si>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</si>
  <si>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</si>
  <si>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</si>
  <si>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</si>
  <si>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</si>
  <si>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</si>
  <si>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</si>
  <si>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</si>
  <si>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</si>
  <si>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</si>
  <si>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</si>
  <si>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</si>
  <si>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</si>
  <si>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</si>
  <si>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</si>
  <si>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</si>
  <si>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</si>
  <si>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</si>
  <si>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</si>
  <si>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</si>
  <si>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</si>
  <si>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</si>
  <si>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</si>
  <si>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</si>
  <si>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</si>
  <si>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</si>
  <si>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</si>
  <si>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</si>
  <si>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</si>
  <si>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</si>
  <si>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</si>
  <si>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</si>
  <si>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</si>
  <si>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</si>
  <si>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</si>
  <si>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</si>
  <si>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</si>
  <si>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</si>
  <si>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</si>
  <si>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</si>
  <si>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</si>
  <si>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</si>
  <si>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</si>
  <si>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</si>
  <si>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</si>
  <si>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</si>
  <si>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</si>
  <si>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</si>
  <si>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</si>
  <si>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</si>
  <si>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</si>
  <si>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</si>
  <si>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</si>
  <si>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</si>
  <si>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</si>
  <si>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</si>
  <si>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</si>
  <si>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</si>
  <si>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</si>
  <si>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</si>
  <si>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</si>
  <si>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</si>
  <si>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</si>
  <si>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</si>
  <si>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</si>
  <si>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</si>
  <si>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</si>
  <si>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</si>
  <si>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</si>
  <si>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</si>
  <si>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</si>
  <si>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</si>
  <si>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</si>
  <si>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</si>
  <si>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</si>
  <si>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</si>
  <si>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</si>
  <si>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</si>
  <si>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</si>
  <si>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</si>
  <si>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</si>
  <si>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</si>
  <si>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</si>
  <si>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</si>
  <si>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</si>
  <si>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</si>
  <si>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</si>
  <si>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</si>
  <si>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</si>
  <si>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</si>
  <si>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</si>
  <si>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</si>
  <si>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</si>
  <si>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</si>
  <si>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</si>
  <si>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</si>
  <si>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</si>
  <si>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</si>
  <si>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</si>
  <si>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</si>
  <si>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</si>
  <si>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</si>
  <si>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</si>
  <si>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</si>
  <si>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</si>
  <si>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</si>
  <si>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</si>
  <si>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</si>
  <si>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</si>
  <si>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</si>
  <si>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</si>
  <si>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</si>
  <si>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</si>
  <si>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</si>
  <si>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</si>
  <si>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</si>
  <si>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</si>
  <si>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</si>
  <si>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</si>
  <si>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</si>
  <si>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</si>
  <si>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</si>
  <si>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</si>
  <si>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</si>
  <si>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</si>
  <si>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</si>
  <si>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</si>
  <si>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</si>
  <si>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</si>
  <si>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</si>
  <si>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</si>
  <si>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</si>
  <si>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</si>
  <si>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</si>
  <si>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</si>
  <si>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</si>
  <si>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</si>
  <si>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</si>
  <si>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</si>
  <si>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</si>
  <si>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</si>
  <si>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</si>
  <si>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</si>
  <si>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</si>
  <si>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</si>
  <si>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</si>
  <si>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</si>
  <si>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</si>
  <si>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</si>
  <si>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</si>
  <si>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</si>
  <si>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</si>
  <si>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</si>
  <si>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</si>
  <si>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</si>
  <si>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</si>
  <si>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</si>
  <si>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</si>
  <si>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</si>
  <si>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</si>
  <si>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</si>
  <si>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</si>
  <si>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</si>
  <si>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</si>
  <si>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</si>
  <si>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</si>
  <si>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</si>
  <si>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</si>
  <si>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</si>
  <si>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</si>
  <si>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</si>
  <si>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</si>
  <si>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</si>
  <si>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</si>
  <si>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</si>
  <si>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Dean Health Plan, Inc</t>
  </si>
  <si>
    <t>Dean Health Grp</t>
  </si>
  <si>
    <t>01294</t>
  </si>
  <si>
    <t>2014</t>
  </si>
  <si>
    <t>1277 Deming Way Madison, WI 53717</t>
  </si>
  <si>
    <t>391535024</t>
  </si>
  <si>
    <t>064203</t>
  </si>
  <si>
    <t>96156</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</si>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</sst>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2">
    <xf numFmtId="0" fontId="0" fillId="0" borderId="0" xfId="0"/>
    <xf numFmtId="6" fontId="31" fillId="0" borderId="19" xfId="115" applyNumberFormat="1"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6" fontId="31" fillId="0" borderId="21" xfId="115" applyNumberFormat="1" applyFont="1" applyFill="1" applyBorder="1" applyAlignment="1" applyProtection="1">
      <protection locked="0"/>
    </xf>
    <xf numFmtId="6" fontId="31" fillId="0" borderId="2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4" fontId="0" fillId="0" borderId="61" xfId="2" applyNumberFormat="1" applyFont="1" applyBorder="1" applyProtection="1">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hp\dfs\Interdepartmental\Fin\GENACCTG\GENACCTG-NEW\Reporting\Statutory%20Reporting\2014\MLR\CMS%20MLR\2014-MLR-Calculator-20150602%20RESUBMIT%209.14.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Grand Total</v>
          </cell>
        </row>
        <row r="15">
          <cell r="C15" t="str">
            <v>No</v>
          </cell>
        </row>
      </sheetData>
      <sheetData sheetId="3">
        <row r="5">
          <cell r="E5">
            <v>128408860.85204384</v>
          </cell>
          <cell r="G5">
            <v>0</v>
          </cell>
          <cell r="H5">
            <v>0</v>
          </cell>
          <cell r="I5">
            <v>101688732.16000001</v>
          </cell>
          <cell r="K5">
            <v>106221496</v>
          </cell>
          <cell r="M5">
            <v>0</v>
          </cell>
          <cell r="N5">
            <v>0</v>
          </cell>
          <cell r="O5">
            <v>0</v>
          </cell>
          <cell r="Q5">
            <v>729100047</v>
          </cell>
          <cell r="S5">
            <v>0</v>
          </cell>
          <cell r="T5">
            <v>0</v>
          </cell>
          <cell r="V5">
            <v>0</v>
          </cell>
          <cell r="Y5">
            <v>0</v>
          </cell>
          <cell r="AB5">
            <v>0</v>
          </cell>
          <cell r="AO5">
            <v>0</v>
          </cell>
          <cell r="AQ5">
            <v>0</v>
          </cell>
          <cell r="AR5">
            <v>0</v>
          </cell>
        </row>
        <row r="6">
          <cell r="E6"/>
          <cell r="G6"/>
          <cell r="H6"/>
          <cell r="I6"/>
          <cell r="K6"/>
          <cell r="M6"/>
          <cell r="N6"/>
          <cell r="Q6"/>
          <cell r="S6"/>
          <cell r="T6"/>
          <cell r="V6"/>
          <cell r="Y6"/>
          <cell r="AB6"/>
          <cell r="AO6"/>
          <cell r="AQ6"/>
          <cell r="AR6"/>
        </row>
        <row r="7">
          <cell r="E7"/>
          <cell r="G7"/>
          <cell r="H7"/>
          <cell r="I7"/>
          <cell r="K7"/>
          <cell r="M7"/>
          <cell r="N7"/>
          <cell r="Q7"/>
          <cell r="S7"/>
          <cell r="T7"/>
          <cell r="V7"/>
          <cell r="Y7"/>
          <cell r="AB7"/>
          <cell r="AO7"/>
          <cell r="AQ7"/>
          <cell r="AR7"/>
        </row>
        <row r="12">
          <cell r="E12">
            <v>117577730</v>
          </cell>
          <cell r="G12">
            <v>0</v>
          </cell>
          <cell r="H12">
            <v>0</v>
          </cell>
          <cell r="I12">
            <v>111532663.31237812</v>
          </cell>
          <cell r="K12">
            <v>89001483</v>
          </cell>
          <cell r="M12">
            <v>0</v>
          </cell>
          <cell r="N12">
            <v>0</v>
          </cell>
          <cell r="O12">
            <v>0</v>
          </cell>
          <cell r="Q12">
            <v>634024013</v>
          </cell>
          <cell r="S12">
            <v>0</v>
          </cell>
          <cell r="T12">
            <v>0</v>
          </cell>
          <cell r="Y12">
            <v>0</v>
          </cell>
          <cell r="AB12">
            <v>0</v>
          </cell>
          <cell r="AO12">
            <v>0</v>
          </cell>
          <cell r="AQ12">
            <v>0</v>
          </cell>
          <cell r="AR12">
            <v>0</v>
          </cell>
        </row>
        <row r="22">
          <cell r="E22">
            <v>0</v>
          </cell>
          <cell r="G22">
            <v>0</v>
          </cell>
          <cell r="H22">
            <v>0</v>
          </cell>
          <cell r="I22">
            <v>0</v>
          </cell>
          <cell r="K22">
            <v>0</v>
          </cell>
          <cell r="M22">
            <v>0</v>
          </cell>
          <cell r="N22">
            <v>0</v>
          </cell>
          <cell r="O22">
            <v>0</v>
          </cell>
          <cell r="Q22">
            <v>0</v>
          </cell>
          <cell r="S22">
            <v>0</v>
          </cell>
          <cell r="T22">
            <v>0</v>
          </cell>
          <cell r="Y22">
            <v>0</v>
          </cell>
          <cell r="AB22">
            <v>0</v>
          </cell>
          <cell r="AO22">
            <v>0</v>
          </cell>
          <cell r="AQ22">
            <v>0</v>
          </cell>
          <cell r="AR22">
            <v>0</v>
          </cell>
        </row>
        <row r="25">
          <cell r="E25">
            <v>627656.20169169852</v>
          </cell>
          <cell r="G25"/>
          <cell r="H25"/>
          <cell r="I25">
            <v>415661.94156152196</v>
          </cell>
          <cell r="K25">
            <v>574892.40754145407</v>
          </cell>
          <cell r="M25"/>
          <cell r="N25"/>
          <cell r="Q25">
            <v>3946129</v>
          </cell>
          <cell r="S25"/>
          <cell r="T25"/>
          <cell r="V25"/>
          <cell r="Y25"/>
          <cell r="AB25"/>
          <cell r="AO25"/>
          <cell r="AQ25"/>
          <cell r="AR25"/>
        </row>
        <row r="26">
          <cell r="E26">
            <v>44917.835764513999</v>
          </cell>
          <cell r="G26"/>
          <cell r="H26"/>
          <cell r="I26">
            <v>29746.594989896039</v>
          </cell>
          <cell r="K26">
            <v>39280</v>
          </cell>
          <cell r="M26"/>
          <cell r="N26"/>
          <cell r="Q26">
            <v>269634</v>
          </cell>
          <cell r="S26"/>
          <cell r="T26"/>
          <cell r="V26"/>
          <cell r="Y26"/>
          <cell r="AB26"/>
          <cell r="AO26"/>
          <cell r="AQ26"/>
          <cell r="AR26"/>
        </row>
        <row r="27">
          <cell r="E27">
            <v>2642577.4225437879</v>
          </cell>
          <cell r="G27"/>
          <cell r="H27"/>
          <cell r="I27">
            <v>1750032.6758831756</v>
          </cell>
          <cell r="K27">
            <v>2422291</v>
          </cell>
          <cell r="M27"/>
          <cell r="N27"/>
          <cell r="Q27">
            <v>16626881</v>
          </cell>
          <cell r="S27"/>
          <cell r="T27"/>
          <cell r="V27"/>
          <cell r="Y27"/>
          <cell r="AB27"/>
          <cell r="AO27"/>
          <cell r="AQ27"/>
          <cell r="AR27"/>
        </row>
        <row r="28">
          <cell r="E28"/>
          <cell r="G28"/>
          <cell r="H28"/>
          <cell r="I28"/>
          <cell r="K28"/>
          <cell r="M28"/>
          <cell r="N28"/>
          <cell r="Q28"/>
          <cell r="S28"/>
          <cell r="T28"/>
          <cell r="V28"/>
          <cell r="Y28"/>
          <cell r="AB28"/>
          <cell r="AO28"/>
          <cell r="AQ28"/>
          <cell r="AR28"/>
        </row>
        <row r="30">
          <cell r="E30">
            <v>117733</v>
          </cell>
          <cell r="G30"/>
          <cell r="H30"/>
          <cell r="I30">
            <v>77968.045617910306</v>
          </cell>
          <cell r="K30">
            <v>107835</v>
          </cell>
          <cell r="M30"/>
          <cell r="N30"/>
          <cell r="Q30">
            <v>740195</v>
          </cell>
          <cell r="S30"/>
          <cell r="T30"/>
          <cell r="V30"/>
          <cell r="Y30"/>
          <cell r="AB30"/>
          <cell r="AO30"/>
          <cell r="AQ30"/>
          <cell r="AR30"/>
        </row>
        <row r="31">
          <cell r="E31"/>
          <cell r="G31"/>
          <cell r="H31"/>
          <cell r="I31"/>
          <cell r="K31"/>
          <cell r="M31"/>
          <cell r="N31"/>
          <cell r="Q31"/>
          <cell r="S31"/>
          <cell r="T31"/>
          <cell r="V31"/>
          <cell r="Y31"/>
          <cell r="AB31"/>
          <cell r="AO31"/>
          <cell r="AQ31"/>
          <cell r="AR31"/>
        </row>
        <row r="32">
          <cell r="E32"/>
          <cell r="G32"/>
          <cell r="H32"/>
          <cell r="I32"/>
          <cell r="K32"/>
          <cell r="M32"/>
          <cell r="N32"/>
          <cell r="Q32"/>
          <cell r="S32"/>
          <cell r="T32"/>
          <cell r="V32"/>
          <cell r="Y32"/>
          <cell r="AB32"/>
          <cell r="AO32"/>
          <cell r="AQ32"/>
          <cell r="AR32"/>
        </row>
        <row r="34">
          <cell r="E34"/>
          <cell r="G34"/>
          <cell r="H34"/>
          <cell r="I34"/>
          <cell r="K34"/>
          <cell r="M34"/>
          <cell r="N34"/>
          <cell r="Q34"/>
          <cell r="S34"/>
          <cell r="T34"/>
          <cell r="V34"/>
          <cell r="Y34"/>
          <cell r="AB34"/>
          <cell r="AO34"/>
          <cell r="AQ34"/>
          <cell r="AR34"/>
        </row>
        <row r="35">
          <cell r="E35">
            <v>366</v>
          </cell>
          <cell r="G35"/>
          <cell r="H35"/>
          <cell r="I35">
            <v>242.09703674197095</v>
          </cell>
          <cell r="K35">
            <v>335</v>
          </cell>
          <cell r="M35"/>
          <cell r="N35"/>
          <cell r="Q35">
            <v>2302</v>
          </cell>
          <cell r="S35"/>
          <cell r="T35"/>
          <cell r="V35"/>
          <cell r="Y35"/>
          <cell r="AB35"/>
          <cell r="AO35"/>
          <cell r="AQ35"/>
          <cell r="AR35"/>
        </row>
        <row r="37">
          <cell r="E37">
            <v>200593</v>
          </cell>
          <cell r="G37"/>
          <cell r="H37"/>
          <cell r="I37">
            <v>132685.73059517826</v>
          </cell>
          <cell r="K37">
            <v>151297</v>
          </cell>
          <cell r="M37"/>
          <cell r="N37"/>
          <cell r="O37"/>
          <cell r="Q37">
            <v>1060097</v>
          </cell>
          <cell r="S37"/>
          <cell r="T37"/>
          <cell r="Y37"/>
          <cell r="AB37"/>
          <cell r="AO37"/>
          <cell r="AQ37"/>
          <cell r="AR37"/>
        </row>
        <row r="38">
          <cell r="E38">
            <v>42834</v>
          </cell>
          <cell r="G38"/>
          <cell r="H38"/>
          <cell r="I38">
            <v>28333.294702775594</v>
          </cell>
          <cell r="K38">
            <v>32590</v>
          </cell>
          <cell r="M38"/>
          <cell r="N38"/>
          <cell r="O38"/>
          <cell r="Q38">
            <v>228119</v>
          </cell>
          <cell r="S38"/>
          <cell r="T38"/>
          <cell r="Y38"/>
          <cell r="AB38"/>
          <cell r="AO38"/>
          <cell r="AQ38"/>
          <cell r="AR38"/>
        </row>
        <row r="39">
          <cell r="E39">
            <v>16294</v>
          </cell>
          <cell r="G39"/>
          <cell r="H39"/>
          <cell r="I39">
            <v>10777.949850283081</v>
          </cell>
          <cell r="K39">
            <v>12057</v>
          </cell>
          <cell r="M39"/>
          <cell r="N39"/>
          <cell r="O39"/>
          <cell r="Q39">
            <v>84672</v>
          </cell>
          <cell r="S39"/>
          <cell r="T39"/>
          <cell r="Y39"/>
          <cell r="AB39"/>
          <cell r="AO39"/>
          <cell r="AQ39"/>
          <cell r="AR39"/>
        </row>
        <row r="40">
          <cell r="E40">
            <v>115031</v>
          </cell>
          <cell r="G40"/>
          <cell r="H40"/>
          <cell r="I40">
            <v>76089.256734252675</v>
          </cell>
          <cell r="K40">
            <v>84915</v>
          </cell>
          <cell r="M40"/>
          <cell r="N40"/>
          <cell r="O40"/>
          <cell r="Q40">
            <v>596465</v>
          </cell>
          <cell r="S40"/>
          <cell r="T40"/>
          <cell r="Y40"/>
          <cell r="AB40"/>
          <cell r="AO40"/>
          <cell r="AQ40"/>
          <cell r="AR40"/>
        </row>
        <row r="41">
          <cell r="E41">
            <v>172899</v>
          </cell>
          <cell r="G41"/>
          <cell r="H41"/>
          <cell r="I41">
            <v>114367.05236062934</v>
          </cell>
          <cell r="K41">
            <v>127095</v>
          </cell>
          <cell r="M41"/>
          <cell r="N41"/>
          <cell r="O41"/>
          <cell r="Q41">
            <v>893195</v>
          </cell>
          <cell r="S41"/>
          <cell r="T41"/>
          <cell r="Y41"/>
          <cell r="AB41"/>
          <cell r="AO41"/>
          <cell r="AQ41"/>
          <cell r="AR41"/>
        </row>
        <row r="42">
          <cell r="E42"/>
          <cell r="G42"/>
          <cell r="H42"/>
          <cell r="I42"/>
          <cell r="K42"/>
          <cell r="M42"/>
          <cell r="N42"/>
          <cell r="O42"/>
          <cell r="Q42"/>
          <cell r="S42"/>
          <cell r="T42"/>
          <cell r="Y42"/>
          <cell r="AB42"/>
          <cell r="AO42"/>
          <cell r="AQ42"/>
          <cell r="AR42"/>
        </row>
        <row r="44">
          <cell r="I44">
            <v>376475.46945250686</v>
          </cell>
          <cell r="O44"/>
        </row>
        <row r="45">
          <cell r="I45">
            <v>846787.02781622938</v>
          </cell>
          <cell r="O45"/>
        </row>
        <row r="46">
          <cell r="I46"/>
          <cell r="O46"/>
        </row>
        <row r="47">
          <cell r="I47">
            <v>2729047.8200259856</v>
          </cell>
          <cell r="O47"/>
        </row>
        <row r="49">
          <cell r="I49">
            <v>221516.1890283234</v>
          </cell>
          <cell r="O49"/>
        </row>
        <row r="50">
          <cell r="I50"/>
          <cell r="O50"/>
        </row>
        <row r="51">
          <cell r="I51">
            <v>10083553.413185067</v>
          </cell>
          <cell r="O51"/>
        </row>
        <row r="59">
          <cell r="E59">
            <v>464303</v>
          </cell>
          <cell r="G59"/>
          <cell r="H59"/>
          <cell r="K59">
            <v>226289</v>
          </cell>
          <cell r="M59"/>
          <cell r="N59"/>
          <cell r="Q59">
            <v>1658907</v>
          </cell>
          <cell r="S59"/>
          <cell r="T59"/>
          <cell r="V59"/>
          <cell r="Y59"/>
          <cell r="AB59"/>
          <cell r="AO59"/>
          <cell r="AQ59"/>
          <cell r="AR59"/>
        </row>
      </sheetData>
      <sheetData sheetId="4">
        <row r="5">
          <cell r="J5">
            <v>108180905</v>
          </cell>
          <cell r="K5">
            <v>108180905</v>
          </cell>
          <cell r="L5"/>
          <cell r="M5"/>
          <cell r="N5"/>
          <cell r="O5"/>
          <cell r="P5">
            <v>743127657</v>
          </cell>
          <cell r="Q5">
            <v>743127657</v>
          </cell>
          <cell r="R5"/>
          <cell r="S5"/>
          <cell r="T5"/>
          <cell r="U5"/>
          <cell r="V5"/>
          <cell r="W5"/>
          <cell r="X5"/>
          <cell r="Y5"/>
          <cell r="Z5"/>
          <cell r="AA5"/>
          <cell r="AB5"/>
          <cell r="AC5"/>
          <cell r="AN5"/>
          <cell r="AO5"/>
          <cell r="AP5"/>
          <cell r="AQ5"/>
          <cell r="AR5"/>
          <cell r="AS5">
            <v>159589873</v>
          </cell>
          <cell r="AT5">
            <v>33907880</v>
          </cell>
          <cell r="AU5"/>
        </row>
        <row r="6">
          <cell r="J6">
            <v>1652863</v>
          </cell>
          <cell r="K6">
            <v>1652863</v>
          </cell>
          <cell r="L6"/>
          <cell r="M6"/>
          <cell r="N6"/>
          <cell r="O6"/>
          <cell r="P6">
            <v>11339153</v>
          </cell>
          <cell r="Q6">
            <v>11339153</v>
          </cell>
          <cell r="R6"/>
          <cell r="S6"/>
          <cell r="T6"/>
          <cell r="U6"/>
          <cell r="V6"/>
          <cell r="W6"/>
          <cell r="X6"/>
          <cell r="Y6"/>
          <cell r="Z6"/>
          <cell r="AA6"/>
          <cell r="AB6"/>
          <cell r="AC6"/>
          <cell r="AN6"/>
          <cell r="AO6"/>
          <cell r="AP6"/>
          <cell r="AQ6"/>
          <cell r="AR6"/>
          <cell r="AS6">
            <v>2436800</v>
          </cell>
          <cell r="AT6">
            <v>518680</v>
          </cell>
          <cell r="AU6"/>
        </row>
        <row r="7">
          <cell r="J7">
            <v>3613794</v>
          </cell>
          <cell r="K7">
            <v>3613794</v>
          </cell>
          <cell r="L7"/>
          <cell r="M7"/>
          <cell r="N7"/>
          <cell r="O7"/>
          <cell r="P7">
            <v>25366763</v>
          </cell>
          <cell r="Q7">
            <v>25366763</v>
          </cell>
          <cell r="R7"/>
          <cell r="S7"/>
          <cell r="T7"/>
          <cell r="U7"/>
          <cell r="V7"/>
          <cell r="W7"/>
          <cell r="X7"/>
          <cell r="Y7"/>
          <cell r="Z7"/>
          <cell r="AA7"/>
          <cell r="AB7"/>
          <cell r="AC7"/>
          <cell r="AN7"/>
          <cell r="AO7"/>
          <cell r="AP7"/>
          <cell r="AQ7"/>
          <cell r="AR7"/>
          <cell r="AS7">
            <v>5426693</v>
          </cell>
          <cell r="AT7">
            <v>1093798</v>
          </cell>
          <cell r="AU7"/>
        </row>
        <row r="13">
          <cell r="J13">
            <v>-1522</v>
          </cell>
          <cell r="K13">
            <v>-1522</v>
          </cell>
          <cell r="L13"/>
          <cell r="M13"/>
          <cell r="N13"/>
          <cell r="O13"/>
          <cell r="P13"/>
          <cell r="Q13"/>
          <cell r="R13"/>
          <cell r="S13"/>
          <cell r="T13"/>
          <cell r="U13"/>
          <cell r="V13"/>
          <cell r="W13"/>
          <cell r="X13"/>
          <cell r="Y13"/>
          <cell r="Z13"/>
          <cell r="AA13"/>
          <cell r="AB13"/>
          <cell r="AC13"/>
          <cell r="AN13"/>
          <cell r="AO13"/>
          <cell r="AP13"/>
          <cell r="AQ13"/>
          <cell r="AR13"/>
          <cell r="AS13"/>
          <cell r="AT13"/>
          <cell r="AU13"/>
        </row>
        <row r="14">
          <cell r="J14"/>
          <cell r="K14"/>
          <cell r="L14"/>
          <cell r="M14"/>
          <cell r="N14"/>
          <cell r="O14"/>
          <cell r="P14"/>
          <cell r="Q14"/>
          <cell r="R14"/>
          <cell r="S14"/>
          <cell r="T14"/>
          <cell r="U14"/>
          <cell r="V14"/>
          <cell r="W14"/>
          <cell r="X14"/>
          <cell r="Y14"/>
          <cell r="Z14"/>
          <cell r="AA14"/>
          <cell r="AB14"/>
          <cell r="AC14"/>
          <cell r="AN14"/>
          <cell r="AO14"/>
          <cell r="AP14"/>
          <cell r="AQ14"/>
          <cell r="AR14"/>
          <cell r="AS14"/>
          <cell r="AT14"/>
          <cell r="AU14"/>
        </row>
        <row r="15">
          <cell r="E15"/>
          <cell r="G15"/>
          <cell r="H15"/>
          <cell r="I15">
            <v>21307604</v>
          </cell>
        </row>
        <row r="16">
          <cell r="E16"/>
          <cell r="G16"/>
          <cell r="H16"/>
          <cell r="I16">
            <v>-5466067.1299999999</v>
          </cell>
          <cell r="J16"/>
          <cell r="K16"/>
          <cell r="L16"/>
          <cell r="M16"/>
          <cell r="N16"/>
          <cell r="O16"/>
        </row>
        <row r="17">
          <cell r="E17">
            <v>12515152.85204383</v>
          </cell>
          <cell r="G17"/>
          <cell r="H17"/>
          <cell r="J17"/>
          <cell r="K17"/>
          <cell r="L17"/>
          <cell r="M17"/>
          <cell r="N17"/>
        </row>
        <row r="54">
          <cell r="D54">
            <v>117865385</v>
          </cell>
          <cell r="E54">
            <v>117577730</v>
          </cell>
          <cell r="F54">
            <v>0</v>
          </cell>
          <cell r="G54">
            <v>0</v>
          </cell>
          <cell r="H54">
            <v>0</v>
          </cell>
          <cell r="I54">
            <v>111532663.31237812</v>
          </cell>
          <cell r="J54">
            <v>88389268</v>
          </cell>
          <cell r="K54">
            <v>89001483</v>
          </cell>
          <cell r="AN54">
            <v>0</v>
          </cell>
          <cell r="AO54">
            <v>0</v>
          </cell>
          <cell r="AP54">
            <v>0</v>
          </cell>
          <cell r="AQ54">
            <v>0</v>
          </cell>
          <cell r="AR54">
            <v>0</v>
          </cell>
          <cell r="AS54">
            <v>136486997</v>
          </cell>
          <cell r="AT54">
            <v>28996848</v>
          </cell>
          <cell r="AU54">
            <v>0</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6" t="s">
        <v>354</v>
      </c>
      <c r="C3" s="237" t="s">
        <v>356</v>
      </c>
      <c r="F3" s="52"/>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8"/>
      <c r="D5" s="112">
        <f>'Pt 2 Premium and Claims'!D5+'Pt 2 Premium and Claims'!D6-'Pt 2 Premium and Claims'!D7-'Pt 2 Premium and Claims'!D13</f>
        <v>115893708</v>
      </c>
      <c r="E5" s="112">
        <f>'Pt 2 Premium and Claims'!E5+'Pt 2 Premium and Claims'!E6-'Pt 2 Premium and Claims'!E7+'Pt 2 Premium and Claims'!E17-'Pt 2 Premium and Claims'!E13</f>
        <v>128408860.85204384</v>
      </c>
      <c r="F5" s="112">
        <f>'Pt 2 Premium and Claims'!F5+'Pt 2 Premium and Claims'!F6-'Pt 2 Premium and Claims'!F7</f>
        <v>0</v>
      </c>
      <c r="G5" s="112">
        <f>'Pt 2 Premium and Claims'!G5+'Pt 2 Premium and Claims'!G6-'Pt 2 Premium and Claims'!G7</f>
        <v>0</v>
      </c>
      <c r="H5" s="112">
        <f>'Pt 2 Premium and Claims'!H5+'Pt 2 Premium and Claims'!H6-'Pt 2 Premium and Claims'!H7</f>
        <v>0</v>
      </c>
      <c r="I5" s="112">
        <f>'Pt 2 Premium and Claims'!I5+'Pt 2 Premium and Claims'!I6-'Pt 2 Premium and Claims'!I7+'Pt 2 Premium and Claims'!I15+'Pt 2 Premium and Claims'!I16</f>
        <v>101688732.16000001</v>
      </c>
      <c r="J5" s="112">
        <f>SUM('[1]Pt 2 Premium and Claims'!J$5,'[1]Pt 2 Premium and Claims'!J$6,-'[1]Pt 2 Premium and Claims'!J$7,-'[1]Pt 2 Premium and Claims'!J$13,'[1]Pt 2 Premium and Claims'!J$14,'[1]Pt 2 Premium and Claims'!J$16:'[1]Pt 2 Premium and Claims'!J$17)</f>
        <v>106221496</v>
      </c>
      <c r="K5" s="113">
        <f>SUM('[1]Pt 2 Premium and Claims'!K$5,'[1]Pt 2 Premium and Claims'!K$6,-'[1]Pt 2 Premium and Claims'!K$7,-'[1]Pt 2 Premium and Claims'!K$13,'[1]Pt 2 Premium and Claims'!K$14,'[1]Pt 2 Premium and Claims'!K$16:'[1]Pt 2 Premium and Claims'!K$17)</f>
        <v>106221496</v>
      </c>
      <c r="L5" s="113">
        <f>SUM('[1]Pt 2 Premium and Claims'!L$5,'[1]Pt 2 Premium and Claims'!L$6,-'[1]Pt 2 Premium and Claims'!L$7,-'[1]Pt 2 Premium and Claims'!L$13,'[1]Pt 2 Premium and Claims'!L$14,'[1]Pt 2 Premium and Claims'!L$16:'[1]Pt 2 Premium and Claims'!L$17)</f>
        <v>0</v>
      </c>
      <c r="M5" s="113">
        <f>SUM('[1]Pt 2 Premium and Claims'!M$5,'[1]Pt 2 Premium and Claims'!M$6,-'[1]Pt 2 Premium and Claims'!M$7,-'[1]Pt 2 Premium and Claims'!M$13,'[1]Pt 2 Premium and Claims'!M$14,'[1]Pt 2 Premium and Claims'!M$16:'[1]Pt 2 Premium and Claims'!M$17)</f>
        <v>0</v>
      </c>
      <c r="N5" s="113">
        <f>SUM('[1]Pt 2 Premium and Claims'!N$5,'[1]Pt 2 Premium and Claims'!N$6,-'[1]Pt 2 Premium and Claims'!N$7,-'[1]Pt 2 Premium and Claims'!N$13,'[1]Pt 2 Premium and Claims'!N$14,'[1]Pt 2 Premium and Claims'!N$16:'[1]Pt 2 Premium and Claims'!N$17)</f>
        <v>0</v>
      </c>
      <c r="O5" s="112">
        <f>SUM('[1]Pt 2 Premium and Claims'!O$5,'[1]Pt 2 Premium and Claims'!O$6,-'[1]Pt 2 Premium and Claims'!O$7,-'[1]Pt 2 Premium and Claims'!O$13,'[1]Pt 2 Premium and Claims'!O$14,'[1]Pt 2 Premium and Claims'!O$16)</f>
        <v>0</v>
      </c>
      <c r="P5" s="112">
        <f>SUM('[1]Pt 2 Premium and Claims'!P$5,'[1]Pt 2 Premium and Claims'!P$6,-'[1]Pt 2 Premium and Claims'!P$7,-'[1]Pt 2 Premium and Claims'!P$13,'[1]Pt 2 Premium and Claims'!P$14)</f>
        <v>729100047</v>
      </c>
      <c r="Q5" s="113">
        <f>SUM('[1]Pt 2 Premium and Claims'!Q$5,'[1]Pt 2 Premium and Claims'!Q$6,-'[1]Pt 2 Premium and Claims'!Q$7,-'[1]Pt 2 Premium and Claims'!Q$13,'[1]Pt 2 Premium and Claims'!Q$14)</f>
        <v>729100047</v>
      </c>
      <c r="R5" s="113">
        <f>SUM('[1]Pt 2 Premium and Claims'!R$5,'[1]Pt 2 Premium and Claims'!R$6,-'[1]Pt 2 Premium and Claims'!R$7,-'[1]Pt 2 Premium and Claims'!R$13,'[1]Pt 2 Premium and Claims'!R$14)</f>
        <v>0</v>
      </c>
      <c r="S5" s="113">
        <f>SUM('[1]Pt 2 Premium and Claims'!S$5,'[1]Pt 2 Premium and Claims'!S$6,-'[1]Pt 2 Premium and Claims'!S$7,-'[1]Pt 2 Premium and Claims'!S$13,'[1]Pt 2 Premium and Claims'!S$14)</f>
        <v>0</v>
      </c>
      <c r="T5" s="113">
        <f>SUM('[1]Pt 2 Premium and Claims'!T$5,'[1]Pt 2 Premium and Claims'!T$6,-'[1]Pt 2 Premium and Claims'!T$7,-'[1]Pt 2 Premium and Claims'!T$13,'[1]Pt 2 Premium and Claims'!T$14)</f>
        <v>0</v>
      </c>
      <c r="U5" s="112">
        <f>SUM('[1]Pt 2 Premium and Claims'!U$5,'[1]Pt 2 Premium and Claims'!U$6,-'[1]Pt 2 Premium and Claims'!U$7,-'[1]Pt 2 Premium and Claims'!U$13,'[1]Pt 2 Premium and Claims'!U$14)</f>
        <v>0</v>
      </c>
      <c r="V5" s="113">
        <f>SUM('[1]Pt 2 Premium and Claims'!V$5,'[1]Pt 2 Premium and Claims'!V$6,-'[1]Pt 2 Premium and Claims'!V$7,-'[1]Pt 2 Premium and Claims'!V$13,'[1]Pt 2 Premium and Claims'!V$14)</f>
        <v>0</v>
      </c>
      <c r="W5" s="113">
        <f>SUM('[1]Pt 2 Premium and Claims'!W$5,'[1]Pt 2 Premium and Claims'!W$6,-'[1]Pt 2 Premium and Claims'!W$7,-'[1]Pt 2 Premium and Claims'!W$13,'[1]Pt 2 Premium and Claims'!W$14)</f>
        <v>0</v>
      </c>
      <c r="X5" s="112">
        <f>SUM('[1]Pt 2 Premium and Claims'!X$5,'[1]Pt 2 Premium and Claims'!X$6,-'[1]Pt 2 Premium and Claims'!X$7,-'[1]Pt 2 Premium and Claims'!X$13,'[1]Pt 2 Premium and Claims'!X$14)</f>
        <v>0</v>
      </c>
      <c r="Y5" s="113">
        <f>SUM('[1]Pt 2 Premium and Claims'!Y$5,'[1]Pt 2 Premium and Claims'!Y$6,-'[1]Pt 2 Premium and Claims'!Y$7,-'[1]Pt 2 Premium and Claims'!Y$13,'[1]Pt 2 Premium and Claims'!Y$14)</f>
        <v>0</v>
      </c>
      <c r="Z5" s="113">
        <f>SUM('[1]Pt 2 Premium and Claims'!Z$5,'[1]Pt 2 Premium and Claims'!Z$6,-'[1]Pt 2 Premium and Claims'!Z$7,-'[1]Pt 2 Premium and Claims'!Z$13,'[1]Pt 2 Premium and Claims'!Z$14)</f>
        <v>0</v>
      </c>
      <c r="AA5" s="112">
        <f>SUM('[1]Pt 2 Premium and Claims'!AA$5,'[1]Pt 2 Premium and Claims'!AA$6,-'[1]Pt 2 Premium and Claims'!AA$7,-'[1]Pt 2 Premium and Claims'!AA$13,'[1]Pt 2 Premium and Claims'!AA$14)</f>
        <v>0</v>
      </c>
      <c r="AB5" s="113">
        <f>SUM('[1]Pt 2 Premium and Claims'!AB$5,'[1]Pt 2 Premium and Claims'!AB$6,-'[1]Pt 2 Premium and Claims'!AB$7,-'[1]Pt 2 Premium and Claims'!AB$13,'[1]Pt 2 Premium and Claims'!AB$14)</f>
        <v>0</v>
      </c>
      <c r="AC5" s="113">
        <f>SUM('[1]Pt 2 Premium and Claims'!AC$5,'[1]Pt 2 Premium and Claims'!AC$6,-'[1]Pt 2 Premium and Claims'!AC$7,-'[1]Pt 2 Premium and Claims'!AC$13,'[1]Pt 2 Premium and Claims'!AC$14)</f>
        <v>0</v>
      </c>
      <c r="AD5" s="112"/>
      <c r="AE5" s="301"/>
      <c r="AF5" s="301"/>
      <c r="AG5" s="301"/>
      <c r="AH5" s="302"/>
      <c r="AI5" s="112"/>
      <c r="AJ5" s="301"/>
      <c r="AK5" s="301"/>
      <c r="AL5" s="301"/>
      <c r="AM5" s="302"/>
      <c r="AN5" s="112">
        <f>SUM('[1]Pt 2 Premium and Claims'!AN$5,'[1]Pt 2 Premium and Claims'!AN$6,-'[1]Pt 2 Premium and Claims'!AN$7,-'[1]Pt 2 Premium and Claims'!AN$13,'[1]Pt 2 Premium and Claims'!AN$14)</f>
        <v>0</v>
      </c>
      <c r="AO5" s="113">
        <f>SUM('[1]Pt 2 Premium and Claims'!AO$5,'[1]Pt 2 Premium and Claims'!AO$6,-'[1]Pt 2 Premium and Claims'!AO$7,-'[1]Pt 2 Premium and Claims'!AO$13,'[1]Pt 2 Premium and Claims'!AO$14)</f>
        <v>0</v>
      </c>
      <c r="AP5" s="113">
        <f>SUM('[1]Pt 2 Premium and Claims'!AP$5,'[1]Pt 2 Premium and Claims'!AP$6,-'[1]Pt 2 Premium and Claims'!AP$7,-'[1]Pt 2 Premium and Claims'!AP$13,'[1]Pt 2 Premium and Claims'!AP$14)</f>
        <v>0</v>
      </c>
      <c r="AQ5" s="113">
        <f>SUM('[1]Pt 2 Premium and Claims'!AQ$5,'[1]Pt 2 Premium and Claims'!AQ$6,-'[1]Pt 2 Premium and Claims'!AQ$7,-'[1]Pt 2 Premium and Claims'!AQ$13,'[1]Pt 2 Premium and Claims'!AQ$14)</f>
        <v>0</v>
      </c>
      <c r="AR5" s="113">
        <f>SUM('[1]Pt 2 Premium and Claims'!AR$5,'[1]Pt 2 Premium and Claims'!AR$6,-'[1]Pt 2 Premium and Claims'!AR$7,-'[1]Pt 2 Premium and Claims'!AR$13,'[1]Pt 2 Premium and Claims'!AR$14)</f>
        <v>0</v>
      </c>
      <c r="AS5" s="112">
        <f>SUM('[1]Pt 2 Premium and Claims'!AS$5,'[1]Pt 2 Premium and Claims'!AS$6,-'[1]Pt 2 Premium and Claims'!AS$7,-'[1]Pt 2 Premium and Claims'!AS$13,'[1]Pt 2 Premium and Claims'!AS$14)</f>
        <v>156599980</v>
      </c>
      <c r="AT5" s="114">
        <f>SUM('[1]Pt 2 Premium and Claims'!AT$5,'[1]Pt 2 Premium and Claims'!AT$6,-'[1]Pt 2 Premium and Claims'!AT$7,-'[1]Pt 2 Premium and Claims'!AT$13,'[1]Pt 2 Premium and Claims'!AT$14)</f>
        <v>33332762</v>
      </c>
      <c r="AU5" s="114">
        <f>SUM('[1]Pt 2 Premium and Claims'!AU$5,'[1]Pt 2 Premium and Claims'!AU$6,-'[1]Pt 2 Premium and Claims'!AU$7,-'[1]Pt 2 Premium and Claims'!AU$13,'[1]Pt 2 Premium and Claims'!AU$14)</f>
        <v>0</v>
      </c>
      <c r="AV5" s="115"/>
      <c r="AW5" s="323"/>
    </row>
    <row r="6" spans="1:49" x14ac:dyDescent="0.2">
      <c r="B6" s="161"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7"/>
      <c r="AF6" s="297"/>
      <c r="AG6" s="297"/>
      <c r="AH6" s="297"/>
      <c r="AI6" s="116"/>
      <c r="AJ6" s="297"/>
      <c r="AK6" s="297"/>
      <c r="AL6" s="297"/>
      <c r="AM6" s="297"/>
      <c r="AN6" s="116"/>
      <c r="AO6" s="117"/>
      <c r="AP6" s="117"/>
      <c r="AQ6" s="118"/>
      <c r="AR6" s="118"/>
      <c r="AS6" s="116"/>
      <c r="AT6" s="120"/>
      <c r="AU6" s="120"/>
      <c r="AV6" s="317"/>
      <c r="AW6" s="324"/>
    </row>
    <row r="7" spans="1:49" x14ac:dyDescent="0.2">
      <c r="B7" s="161"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7"/>
      <c r="AF7" s="297"/>
      <c r="AG7" s="297"/>
      <c r="AH7" s="297"/>
      <c r="AI7" s="116"/>
      <c r="AJ7" s="297"/>
      <c r="AK7" s="297"/>
      <c r="AL7" s="297"/>
      <c r="AM7" s="297"/>
      <c r="AN7" s="116"/>
      <c r="AO7" s="117"/>
      <c r="AP7" s="117"/>
      <c r="AQ7" s="117"/>
      <c r="AR7" s="117"/>
      <c r="AS7" s="116"/>
      <c r="AT7" s="120"/>
      <c r="AU7" s="120"/>
      <c r="AV7" s="317"/>
      <c r="AW7" s="324"/>
    </row>
    <row r="8" spans="1:49" ht="25.5" x14ac:dyDescent="0.2">
      <c r="B8" s="161" t="s">
        <v>225</v>
      </c>
      <c r="C8" s="69" t="s">
        <v>59</v>
      </c>
      <c r="D8" s="116"/>
      <c r="E8" s="295"/>
      <c r="F8" s="296"/>
      <c r="G8" s="296"/>
      <c r="H8" s="296"/>
      <c r="I8" s="299"/>
      <c r="J8" s="116"/>
      <c r="K8" s="295"/>
      <c r="L8" s="296"/>
      <c r="M8" s="296"/>
      <c r="N8" s="296"/>
      <c r="O8" s="299"/>
      <c r="P8" s="116"/>
      <c r="Q8" s="295"/>
      <c r="R8" s="296"/>
      <c r="S8" s="296"/>
      <c r="T8" s="296"/>
      <c r="U8" s="116"/>
      <c r="V8" s="296"/>
      <c r="W8" s="296"/>
      <c r="X8" s="116"/>
      <c r="Y8" s="296"/>
      <c r="Z8" s="296"/>
      <c r="AA8" s="116"/>
      <c r="AB8" s="296"/>
      <c r="AC8" s="296"/>
      <c r="AD8" s="116"/>
      <c r="AE8" s="297"/>
      <c r="AF8" s="297"/>
      <c r="AG8" s="297"/>
      <c r="AH8" s="300"/>
      <c r="AI8" s="116"/>
      <c r="AJ8" s="297"/>
      <c r="AK8" s="297"/>
      <c r="AL8" s="297"/>
      <c r="AM8" s="300"/>
      <c r="AN8" s="116"/>
      <c r="AO8" s="295"/>
      <c r="AP8" s="296"/>
      <c r="AQ8" s="296"/>
      <c r="AR8" s="296"/>
      <c r="AS8" s="116"/>
      <c r="AT8" s="120"/>
      <c r="AU8" s="120"/>
      <c r="AV8" s="317"/>
      <c r="AW8" s="324"/>
    </row>
    <row r="9" spans="1:49" x14ac:dyDescent="0.2">
      <c r="B9" s="161" t="s">
        <v>226</v>
      </c>
      <c r="C9" s="69" t="s">
        <v>60</v>
      </c>
      <c r="D9" s="1">
        <v>91652</v>
      </c>
      <c r="E9" s="294"/>
      <c r="F9" s="297"/>
      <c r="G9" s="297"/>
      <c r="H9" s="297"/>
      <c r="I9" s="298"/>
      <c r="J9" s="116"/>
      <c r="K9" s="294"/>
      <c r="L9" s="297"/>
      <c r="M9" s="297"/>
      <c r="N9" s="297"/>
      <c r="O9" s="298"/>
      <c r="P9" s="116"/>
      <c r="Q9" s="294"/>
      <c r="R9" s="297"/>
      <c r="S9" s="297"/>
      <c r="T9" s="297"/>
      <c r="U9" s="116"/>
      <c r="V9" s="297"/>
      <c r="W9" s="297"/>
      <c r="X9" s="116"/>
      <c r="Y9" s="297"/>
      <c r="Z9" s="297"/>
      <c r="AA9" s="116"/>
      <c r="AB9" s="297"/>
      <c r="AC9" s="297"/>
      <c r="AD9" s="116"/>
      <c r="AE9" s="297"/>
      <c r="AF9" s="297"/>
      <c r="AG9" s="297"/>
      <c r="AH9" s="300"/>
      <c r="AI9" s="116"/>
      <c r="AJ9" s="297"/>
      <c r="AK9" s="297"/>
      <c r="AL9" s="297"/>
      <c r="AM9" s="300"/>
      <c r="AN9" s="116"/>
      <c r="AO9" s="294"/>
      <c r="AP9" s="297"/>
      <c r="AQ9" s="297"/>
      <c r="AR9" s="297"/>
      <c r="AS9" s="116">
        <v>-7357</v>
      </c>
      <c r="AT9" s="120">
        <v>-1563</v>
      </c>
      <c r="AU9" s="120"/>
      <c r="AV9" s="317"/>
      <c r="AW9" s="324"/>
    </row>
    <row r="10" spans="1:49" x14ac:dyDescent="0.2">
      <c r="B10" s="161" t="s">
        <v>227</v>
      </c>
      <c r="C10" s="69" t="s">
        <v>52</v>
      </c>
      <c r="D10" s="116"/>
      <c r="E10" s="294"/>
      <c r="F10" s="297"/>
      <c r="G10" s="297"/>
      <c r="H10" s="297"/>
      <c r="I10" s="298"/>
      <c r="J10" s="116"/>
      <c r="K10" s="294"/>
      <c r="L10" s="297"/>
      <c r="M10" s="297"/>
      <c r="N10" s="297"/>
      <c r="O10" s="298"/>
      <c r="P10" s="116"/>
      <c r="Q10" s="294"/>
      <c r="R10" s="297"/>
      <c r="S10" s="297"/>
      <c r="T10" s="297"/>
      <c r="U10" s="116"/>
      <c r="V10" s="297"/>
      <c r="W10" s="297"/>
      <c r="X10" s="116"/>
      <c r="Y10" s="297"/>
      <c r="Z10" s="297"/>
      <c r="AA10" s="116"/>
      <c r="AB10" s="297"/>
      <c r="AC10" s="297"/>
      <c r="AD10" s="116"/>
      <c r="AE10" s="297"/>
      <c r="AF10" s="297"/>
      <c r="AG10" s="297"/>
      <c r="AH10" s="297"/>
      <c r="AI10" s="116"/>
      <c r="AJ10" s="297"/>
      <c r="AK10" s="297"/>
      <c r="AL10" s="297"/>
      <c r="AM10" s="297"/>
      <c r="AN10" s="116"/>
      <c r="AO10" s="294"/>
      <c r="AP10" s="297"/>
      <c r="AQ10" s="297"/>
      <c r="AR10" s="297"/>
      <c r="AS10" s="116"/>
      <c r="AT10" s="120"/>
      <c r="AU10" s="120"/>
      <c r="AV10" s="317"/>
      <c r="AW10" s="324"/>
    </row>
    <row r="11" spans="1:49" s="12" customFormat="1" ht="16.5" x14ac:dyDescent="0.2">
      <c r="A11" s="42"/>
      <c r="B11" s="162"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69"/>
    </row>
    <row r="12" spans="1:49" s="12" customFormat="1" x14ac:dyDescent="0.2">
      <c r="A12" s="42"/>
      <c r="B12" s="160" t="s">
        <v>229</v>
      </c>
      <c r="C12" s="68"/>
      <c r="D12" s="112">
        <f>'[1]Pt 2 Premium and Claims'!D$54</f>
        <v>117865385</v>
      </c>
      <c r="E12" s="113">
        <f>'[1]Pt 2 Premium and Claims'!E$54</f>
        <v>117577730</v>
      </c>
      <c r="F12" s="113">
        <f>'[1]Pt 2 Premium and Claims'!F$54</f>
        <v>0</v>
      </c>
      <c r="G12" s="113">
        <f>'[1]Pt 2 Premium and Claims'!G$54</f>
        <v>0</v>
      </c>
      <c r="H12" s="113">
        <f>'[1]Pt 2 Premium and Claims'!H$54</f>
        <v>0</v>
      </c>
      <c r="I12" s="112">
        <f>'[1]Pt 2 Premium and Claims'!I$54</f>
        <v>111532663.31237812</v>
      </c>
      <c r="J12" s="112">
        <f>'[1]Pt 2 Premium and Claims'!J$54</f>
        <v>88389268</v>
      </c>
      <c r="K12" s="113">
        <f>'[1]Pt 2 Premium and Claims'!K$54</f>
        <v>89001483</v>
      </c>
      <c r="L12" s="113"/>
      <c r="M12" s="113"/>
      <c r="N12" s="113"/>
      <c r="O12" s="112"/>
      <c r="P12" s="112"/>
      <c r="Q12" s="113"/>
      <c r="R12" s="113"/>
      <c r="S12" s="113"/>
      <c r="T12" s="113"/>
      <c r="U12" s="112"/>
      <c r="V12" s="113"/>
      <c r="W12" s="113"/>
      <c r="X12" s="112"/>
      <c r="Y12" s="113"/>
      <c r="Z12" s="113"/>
      <c r="AA12" s="112"/>
      <c r="AB12" s="113"/>
      <c r="AC12" s="113"/>
      <c r="AD12" s="112"/>
      <c r="AE12" s="301"/>
      <c r="AF12" s="301"/>
      <c r="AG12" s="301"/>
      <c r="AH12" s="302"/>
      <c r="AI12" s="112"/>
      <c r="AJ12" s="301"/>
      <c r="AK12" s="301"/>
      <c r="AL12" s="301"/>
      <c r="AM12" s="302"/>
      <c r="AN12" s="112">
        <f>'[1]Pt 2 Premium and Claims'!AN$54</f>
        <v>0</v>
      </c>
      <c r="AO12" s="113">
        <f>'[1]Pt 2 Premium and Claims'!AO$54</f>
        <v>0</v>
      </c>
      <c r="AP12" s="113">
        <f>'[1]Pt 2 Premium and Claims'!AP$54</f>
        <v>0</v>
      </c>
      <c r="AQ12" s="113">
        <f>'[1]Pt 2 Premium and Claims'!AQ$54</f>
        <v>0</v>
      </c>
      <c r="AR12" s="113">
        <f>'[1]Pt 2 Premium and Claims'!AR$54</f>
        <v>0</v>
      </c>
      <c r="AS12" s="112">
        <f>'[1]Pt 2 Premium and Claims'!AS$54</f>
        <v>136486997</v>
      </c>
      <c r="AT12" s="114">
        <f>'[1]Pt 2 Premium and Claims'!AT$54</f>
        <v>28996848</v>
      </c>
      <c r="AU12" s="114">
        <f>'[1]Pt 2 Premium and Claims'!AU$54</f>
        <v>0</v>
      </c>
      <c r="AV12" s="318"/>
      <c r="AW12" s="323"/>
    </row>
    <row r="13" spans="1:49" ht="25.5" x14ac:dyDescent="0.2">
      <c r="B13" s="161" t="s">
        <v>230</v>
      </c>
      <c r="C13" s="69" t="s">
        <v>37</v>
      </c>
      <c r="D13" s="116">
        <v>15561212.137503078</v>
      </c>
      <c r="E13" s="117">
        <v>15561212.137503078</v>
      </c>
      <c r="F13" s="117"/>
      <c r="G13" s="295"/>
      <c r="H13" s="296"/>
      <c r="I13" s="116">
        <v>13169938</v>
      </c>
      <c r="J13" s="116">
        <v>13113740</v>
      </c>
      <c r="K13" s="117">
        <v>13113740</v>
      </c>
      <c r="L13" s="117"/>
      <c r="M13" s="295"/>
      <c r="N13" s="296"/>
      <c r="O13" s="116"/>
      <c r="P13" s="116"/>
      <c r="Q13" s="117"/>
      <c r="R13" s="117"/>
      <c r="S13" s="295"/>
      <c r="T13" s="296"/>
      <c r="U13" s="116"/>
      <c r="V13" s="117"/>
      <c r="W13" s="117"/>
      <c r="X13" s="116"/>
      <c r="Y13" s="117"/>
      <c r="Z13" s="117"/>
      <c r="AA13" s="116"/>
      <c r="AB13" s="117"/>
      <c r="AC13" s="117"/>
      <c r="AD13" s="116"/>
      <c r="AE13" s="297"/>
      <c r="AF13" s="297"/>
      <c r="AG13" s="297"/>
      <c r="AH13" s="297"/>
      <c r="AI13" s="116"/>
      <c r="AJ13" s="297"/>
      <c r="AK13" s="297"/>
      <c r="AL13" s="297"/>
      <c r="AM13" s="297"/>
      <c r="AN13" s="116"/>
      <c r="AO13" s="117"/>
      <c r="AP13" s="117"/>
      <c r="AQ13" s="295"/>
      <c r="AR13" s="296"/>
      <c r="AS13" s="116">
        <v>1460108</v>
      </c>
      <c r="AT13" s="120">
        <v>154675</v>
      </c>
      <c r="AU13" s="120"/>
      <c r="AV13" s="317"/>
      <c r="AW13" s="324"/>
    </row>
    <row r="14" spans="1:49" ht="25.5" x14ac:dyDescent="0.2">
      <c r="B14" s="161" t="s">
        <v>231</v>
      </c>
      <c r="C14" s="69" t="s">
        <v>6</v>
      </c>
      <c r="D14" s="116">
        <v>1744491</v>
      </c>
      <c r="E14" s="117">
        <v>-1744491</v>
      </c>
      <c r="F14" s="117"/>
      <c r="G14" s="294"/>
      <c r="H14" s="297"/>
      <c r="I14" s="116">
        <v>-803564</v>
      </c>
      <c r="J14" s="116">
        <v>1586675</v>
      </c>
      <c r="K14" s="117">
        <v>1586675</v>
      </c>
      <c r="L14" s="117"/>
      <c r="M14" s="294"/>
      <c r="N14" s="297"/>
      <c r="O14" s="116"/>
      <c r="P14" s="116"/>
      <c r="Q14" s="117"/>
      <c r="R14" s="117"/>
      <c r="S14" s="294"/>
      <c r="T14" s="297"/>
      <c r="U14" s="116"/>
      <c r="V14" s="117"/>
      <c r="W14" s="117"/>
      <c r="X14" s="116"/>
      <c r="Y14" s="117"/>
      <c r="Z14" s="117"/>
      <c r="AA14" s="116"/>
      <c r="AB14" s="117"/>
      <c r="AC14" s="117"/>
      <c r="AD14" s="116"/>
      <c r="AE14" s="297"/>
      <c r="AF14" s="297"/>
      <c r="AG14" s="297"/>
      <c r="AH14" s="297"/>
      <c r="AI14" s="116"/>
      <c r="AJ14" s="297"/>
      <c r="AK14" s="297"/>
      <c r="AL14" s="297"/>
      <c r="AM14" s="297"/>
      <c r="AN14" s="116"/>
      <c r="AO14" s="117"/>
      <c r="AP14" s="117"/>
      <c r="AQ14" s="294"/>
      <c r="AR14" s="297"/>
      <c r="AS14" s="116">
        <v>19379</v>
      </c>
      <c r="AT14" s="120">
        <v>182936</v>
      </c>
      <c r="AU14" s="120"/>
      <c r="AV14" s="317"/>
      <c r="AW14" s="324"/>
    </row>
    <row r="15" spans="1:49" ht="38.25" x14ac:dyDescent="0.2">
      <c r="B15" s="161" t="s">
        <v>232</v>
      </c>
      <c r="C15" s="69" t="s">
        <v>7</v>
      </c>
      <c r="D15" s="116"/>
      <c r="E15" s="117"/>
      <c r="F15" s="117"/>
      <c r="G15" s="294"/>
      <c r="H15" s="300"/>
      <c r="I15" s="116"/>
      <c r="J15" s="116"/>
      <c r="K15" s="117"/>
      <c r="L15" s="117"/>
      <c r="M15" s="294"/>
      <c r="N15" s="300"/>
      <c r="O15" s="116"/>
      <c r="P15" s="116"/>
      <c r="Q15" s="117"/>
      <c r="R15" s="117"/>
      <c r="S15" s="294"/>
      <c r="T15" s="300"/>
      <c r="U15" s="116"/>
      <c r="V15" s="117"/>
      <c r="W15" s="117"/>
      <c r="X15" s="116"/>
      <c r="Y15" s="117"/>
      <c r="Z15" s="117"/>
      <c r="AA15" s="116"/>
      <c r="AB15" s="117"/>
      <c r="AC15" s="117"/>
      <c r="AD15" s="116"/>
      <c r="AE15" s="297"/>
      <c r="AF15" s="297"/>
      <c r="AG15" s="297"/>
      <c r="AH15" s="300"/>
      <c r="AI15" s="116"/>
      <c r="AJ15" s="297"/>
      <c r="AK15" s="297"/>
      <c r="AL15" s="297"/>
      <c r="AM15" s="300"/>
      <c r="AN15" s="116"/>
      <c r="AO15" s="117"/>
      <c r="AP15" s="117"/>
      <c r="AQ15" s="294"/>
      <c r="AR15" s="300"/>
      <c r="AS15" s="116"/>
      <c r="AT15" s="120"/>
      <c r="AU15" s="120"/>
      <c r="AV15" s="317"/>
      <c r="AW15" s="324"/>
    </row>
    <row r="16" spans="1:49" ht="25.5" x14ac:dyDescent="0.2">
      <c r="B16" s="161" t="s">
        <v>233</v>
      </c>
      <c r="C16" s="69" t="s">
        <v>61</v>
      </c>
      <c r="D16" s="116"/>
      <c r="E16" s="295"/>
      <c r="F16" s="296"/>
      <c r="G16" s="297"/>
      <c r="H16" s="297"/>
      <c r="I16" s="299"/>
      <c r="J16" s="116"/>
      <c r="K16" s="295"/>
      <c r="L16" s="296"/>
      <c r="M16" s="297"/>
      <c r="N16" s="297"/>
      <c r="O16" s="299"/>
      <c r="P16" s="116"/>
      <c r="Q16" s="295"/>
      <c r="R16" s="296"/>
      <c r="S16" s="297"/>
      <c r="T16" s="297"/>
      <c r="U16" s="116"/>
      <c r="V16" s="295"/>
      <c r="W16" s="296"/>
      <c r="X16" s="116"/>
      <c r="Y16" s="295"/>
      <c r="Z16" s="296"/>
      <c r="AA16" s="116"/>
      <c r="AB16" s="295"/>
      <c r="AC16" s="296"/>
      <c r="AD16" s="116"/>
      <c r="AE16" s="297"/>
      <c r="AF16" s="297"/>
      <c r="AG16" s="297"/>
      <c r="AH16" s="297"/>
      <c r="AI16" s="116"/>
      <c r="AJ16" s="297"/>
      <c r="AK16" s="297"/>
      <c r="AL16" s="297"/>
      <c r="AM16" s="297"/>
      <c r="AN16" s="116"/>
      <c r="AO16" s="295"/>
      <c r="AP16" s="296"/>
      <c r="AQ16" s="297"/>
      <c r="AR16" s="297"/>
      <c r="AS16" s="116"/>
      <c r="AT16" s="120"/>
      <c r="AU16" s="120"/>
      <c r="AV16" s="317"/>
      <c r="AW16" s="324"/>
    </row>
    <row r="17" spans="1:49" x14ac:dyDescent="0.2">
      <c r="B17" s="161" t="s">
        <v>234</v>
      </c>
      <c r="C17" s="69" t="s">
        <v>62</v>
      </c>
      <c r="D17" s="116"/>
      <c r="E17" s="294"/>
      <c r="F17" s="297"/>
      <c r="G17" s="297"/>
      <c r="H17" s="297"/>
      <c r="I17" s="298"/>
      <c r="J17" s="116"/>
      <c r="K17" s="294"/>
      <c r="L17" s="297"/>
      <c r="M17" s="297"/>
      <c r="N17" s="297"/>
      <c r="O17" s="298"/>
      <c r="P17" s="116"/>
      <c r="Q17" s="294"/>
      <c r="R17" s="297"/>
      <c r="S17" s="297"/>
      <c r="T17" s="297"/>
      <c r="U17" s="116"/>
      <c r="V17" s="294"/>
      <c r="W17" s="297"/>
      <c r="X17" s="116"/>
      <c r="Y17" s="294"/>
      <c r="Z17" s="297"/>
      <c r="AA17" s="116"/>
      <c r="AB17" s="294"/>
      <c r="AC17" s="297"/>
      <c r="AD17" s="116"/>
      <c r="AE17" s="297"/>
      <c r="AF17" s="297"/>
      <c r="AG17" s="297"/>
      <c r="AH17" s="297"/>
      <c r="AI17" s="116"/>
      <c r="AJ17" s="297"/>
      <c r="AK17" s="297"/>
      <c r="AL17" s="297"/>
      <c r="AM17" s="297"/>
      <c r="AN17" s="116"/>
      <c r="AO17" s="294"/>
      <c r="AP17" s="297"/>
      <c r="AQ17" s="297"/>
      <c r="AR17" s="297"/>
      <c r="AS17" s="116"/>
      <c r="AT17" s="120"/>
      <c r="AU17" s="120"/>
      <c r="AV17" s="317"/>
      <c r="AW17" s="324"/>
    </row>
    <row r="18" spans="1:49" x14ac:dyDescent="0.2">
      <c r="B18" s="161" t="s">
        <v>235</v>
      </c>
      <c r="C18" s="69" t="s">
        <v>63</v>
      </c>
      <c r="D18" s="116"/>
      <c r="E18" s="294"/>
      <c r="F18" s="297"/>
      <c r="G18" s="297"/>
      <c r="H18" s="300"/>
      <c r="I18" s="298"/>
      <c r="J18" s="116"/>
      <c r="K18" s="294"/>
      <c r="L18" s="297"/>
      <c r="M18" s="297"/>
      <c r="N18" s="300"/>
      <c r="O18" s="298"/>
      <c r="P18" s="116"/>
      <c r="Q18" s="294"/>
      <c r="R18" s="297"/>
      <c r="S18" s="297"/>
      <c r="T18" s="300"/>
      <c r="U18" s="116"/>
      <c r="V18" s="338"/>
      <c r="W18" s="297"/>
      <c r="X18" s="116"/>
      <c r="Y18" s="338"/>
      <c r="Z18" s="297"/>
      <c r="AA18" s="116"/>
      <c r="AB18" s="338"/>
      <c r="AC18" s="297"/>
      <c r="AD18" s="116"/>
      <c r="AE18" s="297"/>
      <c r="AF18" s="297"/>
      <c r="AG18" s="297"/>
      <c r="AH18" s="300"/>
      <c r="AI18" s="116"/>
      <c r="AJ18" s="297"/>
      <c r="AK18" s="297"/>
      <c r="AL18" s="297"/>
      <c r="AM18" s="300"/>
      <c r="AN18" s="116"/>
      <c r="AO18" s="294"/>
      <c r="AP18" s="297"/>
      <c r="AQ18" s="297"/>
      <c r="AR18" s="300"/>
      <c r="AS18" s="116"/>
      <c r="AT18" s="120"/>
      <c r="AU18" s="120"/>
      <c r="AV18" s="317"/>
      <c r="AW18" s="324"/>
    </row>
    <row r="19" spans="1:49" x14ac:dyDescent="0.2">
      <c r="B19" s="161" t="s">
        <v>236</v>
      </c>
      <c r="C19" s="69" t="s">
        <v>64</v>
      </c>
      <c r="D19" s="116"/>
      <c r="E19" s="294"/>
      <c r="F19" s="297"/>
      <c r="G19" s="297"/>
      <c r="H19" s="297"/>
      <c r="I19" s="298"/>
      <c r="J19" s="116"/>
      <c r="K19" s="294"/>
      <c r="L19" s="297"/>
      <c r="M19" s="297"/>
      <c r="N19" s="297"/>
      <c r="O19" s="298"/>
      <c r="P19" s="116"/>
      <c r="Q19" s="294"/>
      <c r="R19" s="297"/>
      <c r="S19" s="297"/>
      <c r="T19" s="297"/>
      <c r="U19" s="116"/>
      <c r="V19" s="294"/>
      <c r="W19" s="297"/>
      <c r="X19" s="116"/>
      <c r="Y19" s="294"/>
      <c r="Z19" s="297"/>
      <c r="AA19" s="116"/>
      <c r="AB19" s="294"/>
      <c r="AC19" s="297"/>
      <c r="AD19" s="116"/>
      <c r="AE19" s="297"/>
      <c r="AF19" s="297"/>
      <c r="AG19" s="297"/>
      <c r="AH19" s="297"/>
      <c r="AI19" s="116"/>
      <c r="AJ19" s="297"/>
      <c r="AK19" s="297"/>
      <c r="AL19" s="297"/>
      <c r="AM19" s="297"/>
      <c r="AN19" s="116"/>
      <c r="AO19" s="294"/>
      <c r="AP19" s="297"/>
      <c r="AQ19" s="297"/>
      <c r="AR19" s="297"/>
      <c r="AS19" s="116"/>
      <c r="AT19" s="120"/>
      <c r="AU19" s="120"/>
      <c r="AV19" s="317"/>
      <c r="AW19" s="324"/>
    </row>
    <row r="20" spans="1:49" x14ac:dyDescent="0.2">
      <c r="B20" s="161" t="s">
        <v>237</v>
      </c>
      <c r="C20" s="69" t="s">
        <v>65</v>
      </c>
      <c r="D20" s="116"/>
      <c r="E20" s="294"/>
      <c r="F20" s="297"/>
      <c r="G20" s="297"/>
      <c r="H20" s="297"/>
      <c r="I20" s="298"/>
      <c r="J20" s="116"/>
      <c r="K20" s="294"/>
      <c r="L20" s="297"/>
      <c r="M20" s="297"/>
      <c r="N20" s="297"/>
      <c r="O20" s="298"/>
      <c r="P20" s="116"/>
      <c r="Q20" s="294"/>
      <c r="R20" s="297"/>
      <c r="S20" s="297"/>
      <c r="T20" s="297"/>
      <c r="U20" s="116"/>
      <c r="V20" s="294"/>
      <c r="W20" s="297"/>
      <c r="X20" s="116"/>
      <c r="Y20" s="294"/>
      <c r="Z20" s="297"/>
      <c r="AA20" s="116"/>
      <c r="AB20" s="294"/>
      <c r="AC20" s="297"/>
      <c r="AD20" s="116"/>
      <c r="AE20" s="297"/>
      <c r="AF20" s="297"/>
      <c r="AG20" s="297"/>
      <c r="AH20" s="297"/>
      <c r="AI20" s="116"/>
      <c r="AJ20" s="297"/>
      <c r="AK20" s="297"/>
      <c r="AL20" s="297"/>
      <c r="AM20" s="297"/>
      <c r="AN20" s="116"/>
      <c r="AO20" s="294"/>
      <c r="AP20" s="297"/>
      <c r="AQ20" s="297"/>
      <c r="AR20" s="297"/>
      <c r="AS20" s="116"/>
      <c r="AT20" s="120"/>
      <c r="AU20" s="120"/>
      <c r="AV20" s="317"/>
      <c r="AW20" s="324"/>
    </row>
    <row r="21" spans="1:49" x14ac:dyDescent="0.2">
      <c r="B21" s="161" t="s">
        <v>238</v>
      </c>
      <c r="C21" s="69" t="s">
        <v>66</v>
      </c>
      <c r="D21" s="116"/>
      <c r="E21" s="294"/>
      <c r="F21" s="297"/>
      <c r="G21" s="297"/>
      <c r="H21" s="297"/>
      <c r="I21" s="298"/>
      <c r="J21" s="116"/>
      <c r="K21" s="294"/>
      <c r="L21" s="297"/>
      <c r="M21" s="297"/>
      <c r="N21" s="297"/>
      <c r="O21" s="298"/>
      <c r="P21" s="116"/>
      <c r="Q21" s="294"/>
      <c r="R21" s="297"/>
      <c r="S21" s="297"/>
      <c r="T21" s="297"/>
      <c r="U21" s="116"/>
      <c r="V21" s="294"/>
      <c r="W21" s="297"/>
      <c r="X21" s="116"/>
      <c r="Y21" s="294"/>
      <c r="Z21" s="297"/>
      <c r="AA21" s="116"/>
      <c r="AB21" s="294"/>
      <c r="AC21" s="297"/>
      <c r="AD21" s="116"/>
      <c r="AE21" s="297"/>
      <c r="AF21" s="297"/>
      <c r="AG21" s="297"/>
      <c r="AH21" s="297"/>
      <c r="AI21" s="116"/>
      <c r="AJ21" s="297"/>
      <c r="AK21" s="297"/>
      <c r="AL21" s="297"/>
      <c r="AM21" s="297"/>
      <c r="AN21" s="116"/>
      <c r="AO21" s="294"/>
      <c r="AP21" s="297"/>
      <c r="AQ21" s="297"/>
      <c r="AR21" s="297"/>
      <c r="AS21" s="116"/>
      <c r="AT21" s="120"/>
      <c r="AU21" s="120"/>
      <c r="AV21" s="317"/>
      <c r="AW21" s="324"/>
    </row>
    <row r="22" spans="1:49" x14ac:dyDescent="0.2">
      <c r="B22" s="161" t="s">
        <v>239</v>
      </c>
      <c r="C22" s="69" t="s">
        <v>28</v>
      </c>
      <c r="D22" s="121">
        <f>'[1]Pt 2 Premium and Claims'!D$55</f>
        <v>0</v>
      </c>
      <c r="E22" s="122">
        <f>'[1]Pt 2 Premium and Claims'!E$55</f>
        <v>0</v>
      </c>
      <c r="F22" s="122">
        <f>'[1]Pt 2 Premium and Claims'!F$55</f>
        <v>0</v>
      </c>
      <c r="G22" s="122">
        <f>'[1]Pt 2 Premium and Claims'!G$55</f>
        <v>0</v>
      </c>
      <c r="H22" s="122">
        <f>'[1]Pt 2 Premium and Claims'!H$55</f>
        <v>0</v>
      </c>
      <c r="I22" s="121">
        <f>'[1]Pt 2 Premium and Claims'!I$55</f>
        <v>0</v>
      </c>
      <c r="J22" s="121">
        <f>'[1]Pt 2 Premium and Claims'!J$55</f>
        <v>0</v>
      </c>
      <c r="K22" s="122">
        <f>'[1]Pt 2 Premium and Claims'!K$55</f>
        <v>0</v>
      </c>
      <c r="L22" s="122">
        <f>'[1]Pt 2 Premium and Claims'!L$55</f>
        <v>0</v>
      </c>
      <c r="M22" s="122">
        <f>'[1]Pt 2 Premium and Claims'!M$55</f>
        <v>0</v>
      </c>
      <c r="N22" s="122">
        <f>'[1]Pt 2 Premium and Claims'!N$55</f>
        <v>0</v>
      </c>
      <c r="O22" s="121">
        <f>'[1]Pt 2 Premium and Claims'!O$55</f>
        <v>0</v>
      </c>
      <c r="P22" s="121">
        <f>'[1]Pt 2 Premium and Claims'!P$55</f>
        <v>0</v>
      </c>
      <c r="Q22" s="122">
        <f>'[1]Pt 2 Premium and Claims'!Q$55</f>
        <v>0</v>
      </c>
      <c r="R22" s="122">
        <f>'[1]Pt 2 Premium and Claims'!R$55</f>
        <v>0</v>
      </c>
      <c r="S22" s="122">
        <f>'[1]Pt 2 Premium and Claims'!S$55</f>
        <v>0</v>
      </c>
      <c r="T22" s="122">
        <f>'[1]Pt 2 Premium and Claims'!T$55</f>
        <v>0</v>
      </c>
      <c r="U22" s="121">
        <f>'[1]Pt 2 Premium and Claims'!U$55</f>
        <v>0</v>
      </c>
      <c r="V22" s="122">
        <f>'[1]Pt 2 Premium and Claims'!V$55</f>
        <v>0</v>
      </c>
      <c r="W22" s="122">
        <f>'[1]Pt 2 Premium and Claims'!W$55</f>
        <v>0</v>
      </c>
      <c r="X22" s="121">
        <f>'[1]Pt 2 Premium and Claims'!X$55</f>
        <v>0</v>
      </c>
      <c r="Y22" s="122">
        <f>'[1]Pt 2 Premium and Claims'!Y$55</f>
        <v>0</v>
      </c>
      <c r="Z22" s="122">
        <f>'[1]Pt 2 Premium and Claims'!Z$55</f>
        <v>0</v>
      </c>
      <c r="AA22" s="121">
        <f>'[1]Pt 2 Premium and Claims'!AA$55</f>
        <v>0</v>
      </c>
      <c r="AB22" s="122">
        <f>'[1]Pt 2 Premium and Claims'!AB$55</f>
        <v>0</v>
      </c>
      <c r="AC22" s="122">
        <f>'[1]Pt 2 Premium and Claims'!AC$55</f>
        <v>0</v>
      </c>
      <c r="AD22" s="121"/>
      <c r="AE22" s="297"/>
      <c r="AF22" s="297"/>
      <c r="AG22" s="297"/>
      <c r="AH22" s="297"/>
      <c r="AI22" s="121"/>
      <c r="AJ22" s="297"/>
      <c r="AK22" s="297"/>
      <c r="AL22" s="297"/>
      <c r="AM22" s="297"/>
      <c r="AN22" s="121"/>
      <c r="AO22" s="122"/>
      <c r="AP22" s="122"/>
      <c r="AQ22" s="122"/>
      <c r="AR22" s="122"/>
      <c r="AS22" s="121"/>
      <c r="AT22" s="123"/>
      <c r="AU22" s="123"/>
      <c r="AV22" s="317"/>
      <c r="AW22" s="324"/>
    </row>
    <row r="23" spans="1:49" ht="33" x14ac:dyDescent="0.2">
      <c r="B23" s="162"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69"/>
    </row>
    <row r="24" spans="1:49" s="12" customFormat="1" ht="25.5" x14ac:dyDescent="0.2">
      <c r="A24" s="42"/>
      <c r="B24" s="163" t="s">
        <v>241</v>
      </c>
      <c r="C24" s="68"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2" customFormat="1" x14ac:dyDescent="0.2">
      <c r="A25" s="42"/>
      <c r="B25" s="164" t="s">
        <v>242</v>
      </c>
      <c r="C25" s="69"/>
      <c r="D25" s="116">
        <v>627656.20169169852</v>
      </c>
      <c r="E25" s="117">
        <v>627656.20169169852</v>
      </c>
      <c r="F25" s="117"/>
      <c r="G25" s="117"/>
      <c r="H25" s="117"/>
      <c r="I25" s="116">
        <v>415661.94156152196</v>
      </c>
      <c r="J25" s="116">
        <v>574892.40754145407</v>
      </c>
      <c r="K25" s="117">
        <v>574892.40754145407</v>
      </c>
      <c r="L25" s="117"/>
      <c r="M25" s="117"/>
      <c r="N25" s="117"/>
      <c r="O25" s="116"/>
      <c r="P25" s="116">
        <v>3946129</v>
      </c>
      <c r="Q25" s="117">
        <v>3946129</v>
      </c>
      <c r="R25" s="117"/>
      <c r="S25" s="117"/>
      <c r="T25" s="117"/>
      <c r="U25" s="116"/>
      <c r="V25" s="117"/>
      <c r="W25" s="117"/>
      <c r="X25" s="116"/>
      <c r="Y25" s="117"/>
      <c r="Z25" s="117"/>
      <c r="AA25" s="116"/>
      <c r="AB25" s="117"/>
      <c r="AC25" s="117"/>
      <c r="AD25" s="116"/>
      <c r="AE25" s="297"/>
      <c r="AF25" s="297"/>
      <c r="AG25" s="297"/>
      <c r="AH25" s="300"/>
      <c r="AI25" s="116"/>
      <c r="AJ25" s="297"/>
      <c r="AK25" s="297"/>
      <c r="AL25" s="297"/>
      <c r="AM25" s="300"/>
      <c r="AN25" s="116"/>
      <c r="AO25" s="117"/>
      <c r="AP25" s="117"/>
      <c r="AQ25" s="117"/>
      <c r="AR25" s="117"/>
      <c r="AS25" s="116">
        <v>847563</v>
      </c>
      <c r="AT25" s="120">
        <v>180406</v>
      </c>
      <c r="AU25" s="120"/>
      <c r="AV25" s="120"/>
      <c r="AW25" s="324"/>
    </row>
    <row r="26" spans="1:49" s="12" customFormat="1" x14ac:dyDescent="0.2">
      <c r="A26" s="42"/>
      <c r="B26" s="164" t="s">
        <v>243</v>
      </c>
      <c r="C26" s="69"/>
      <c r="D26" s="116">
        <v>44917.835764513999</v>
      </c>
      <c r="E26" s="117">
        <v>44917.835764513999</v>
      </c>
      <c r="F26" s="117"/>
      <c r="G26" s="117"/>
      <c r="H26" s="117"/>
      <c r="I26" s="116">
        <v>29746.594989896039</v>
      </c>
      <c r="J26" s="116">
        <v>39280.323607598883</v>
      </c>
      <c r="K26" s="117">
        <v>39280</v>
      </c>
      <c r="L26" s="117"/>
      <c r="M26" s="117"/>
      <c r="N26" s="117"/>
      <c r="O26" s="116"/>
      <c r="P26" s="116">
        <v>269634</v>
      </c>
      <c r="Q26" s="117">
        <v>269634</v>
      </c>
      <c r="R26" s="117"/>
      <c r="S26" s="117"/>
      <c r="T26" s="117"/>
      <c r="U26" s="116"/>
      <c r="V26" s="117"/>
      <c r="W26" s="117"/>
      <c r="X26" s="116"/>
      <c r="Y26" s="117"/>
      <c r="Z26" s="117"/>
      <c r="AA26" s="116"/>
      <c r="AB26" s="117"/>
      <c r="AC26" s="117"/>
      <c r="AD26" s="116"/>
      <c r="AE26" s="297"/>
      <c r="AF26" s="297"/>
      <c r="AG26" s="297"/>
      <c r="AH26" s="297"/>
      <c r="AI26" s="116"/>
      <c r="AJ26" s="297"/>
      <c r="AK26" s="297"/>
      <c r="AL26" s="297"/>
      <c r="AM26" s="297"/>
      <c r="AN26" s="116"/>
      <c r="AO26" s="117"/>
      <c r="AP26" s="117"/>
      <c r="AQ26" s="117"/>
      <c r="AR26" s="117"/>
      <c r="AS26" s="116">
        <v>57911</v>
      </c>
      <c r="AT26" s="120">
        <v>12327</v>
      </c>
      <c r="AU26" s="120"/>
      <c r="AV26" s="120"/>
      <c r="AW26" s="324"/>
    </row>
    <row r="27" spans="1:49" s="12" customFormat="1" x14ac:dyDescent="0.2">
      <c r="B27" s="164" t="s">
        <v>244</v>
      </c>
      <c r="C27" s="69"/>
      <c r="D27" s="116">
        <v>2642577.4225437879</v>
      </c>
      <c r="E27" s="117">
        <v>2642577.4225437879</v>
      </c>
      <c r="F27" s="117"/>
      <c r="G27" s="117"/>
      <c r="H27" s="117"/>
      <c r="I27" s="116">
        <v>1750032.6758831756</v>
      </c>
      <c r="J27" s="116">
        <v>2422291.2688509468</v>
      </c>
      <c r="K27" s="117">
        <v>2422291</v>
      </c>
      <c r="L27" s="117"/>
      <c r="M27" s="117"/>
      <c r="N27" s="117"/>
      <c r="O27" s="116"/>
      <c r="P27" s="116">
        <v>16626881</v>
      </c>
      <c r="Q27" s="117">
        <v>16626881</v>
      </c>
      <c r="R27" s="117"/>
      <c r="S27" s="117"/>
      <c r="T27" s="117"/>
      <c r="U27" s="116"/>
      <c r="V27" s="117"/>
      <c r="W27" s="117"/>
      <c r="X27" s="116"/>
      <c r="Y27" s="117"/>
      <c r="Z27" s="117"/>
      <c r="AA27" s="116"/>
      <c r="AB27" s="117"/>
      <c r="AC27" s="117"/>
      <c r="AD27" s="116"/>
      <c r="AE27" s="297"/>
      <c r="AF27" s="297"/>
      <c r="AG27" s="297"/>
      <c r="AH27" s="297"/>
      <c r="AI27" s="116"/>
      <c r="AJ27" s="297"/>
      <c r="AK27" s="297"/>
      <c r="AL27" s="297"/>
      <c r="AM27" s="297"/>
      <c r="AN27" s="116"/>
      <c r="AO27" s="117"/>
      <c r="AP27" s="117"/>
      <c r="AQ27" s="117"/>
      <c r="AR27" s="117"/>
      <c r="AS27" s="116">
        <v>3571181</v>
      </c>
      <c r="AT27" s="120">
        <v>760137</v>
      </c>
      <c r="AU27" s="120"/>
      <c r="AV27" s="320"/>
      <c r="AW27" s="324"/>
    </row>
    <row r="28" spans="1:49" s="12" customFormat="1" x14ac:dyDescent="0.2">
      <c r="A28" s="42"/>
      <c r="B28" s="164"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7"/>
      <c r="AF28" s="297"/>
      <c r="AG28" s="297"/>
      <c r="AH28" s="297"/>
      <c r="AI28" s="116"/>
      <c r="AJ28" s="297"/>
      <c r="AK28" s="297"/>
      <c r="AL28" s="297"/>
      <c r="AM28" s="297"/>
      <c r="AN28" s="116"/>
      <c r="AO28" s="117"/>
      <c r="AP28" s="117"/>
      <c r="AQ28" s="117"/>
      <c r="AR28" s="117"/>
      <c r="AS28" s="116"/>
      <c r="AT28" s="120"/>
      <c r="AU28" s="120"/>
      <c r="AV28" s="120"/>
      <c r="AW28" s="324"/>
    </row>
    <row r="29" spans="1:49" ht="38.25" x14ac:dyDescent="0.2">
      <c r="B29" s="165" t="s">
        <v>246</v>
      </c>
      <c r="C29" s="69" t="s">
        <v>204</v>
      </c>
      <c r="D29" s="332"/>
      <c r="E29" s="333"/>
      <c r="F29" s="333"/>
      <c r="G29" s="333"/>
      <c r="H29" s="333"/>
      <c r="I29" s="332"/>
      <c r="J29" s="332"/>
      <c r="K29" s="333"/>
      <c r="L29" s="333"/>
      <c r="M29" s="333"/>
      <c r="N29" s="333"/>
      <c r="O29" s="332"/>
      <c r="P29" s="78"/>
      <c r="Q29" s="75"/>
      <c r="R29" s="75"/>
      <c r="S29" s="75"/>
      <c r="T29" s="75"/>
      <c r="U29" s="78"/>
      <c r="V29" s="75"/>
      <c r="W29" s="75"/>
      <c r="X29" s="78"/>
      <c r="Y29" s="75"/>
      <c r="Z29" s="75"/>
      <c r="AA29" s="78"/>
      <c r="AB29" s="75"/>
      <c r="AC29" s="75"/>
      <c r="AD29" s="78"/>
      <c r="AE29" s="305"/>
      <c r="AF29" s="305"/>
      <c r="AG29" s="305"/>
      <c r="AH29" s="305"/>
      <c r="AI29" s="78"/>
      <c r="AJ29" s="305"/>
      <c r="AK29" s="305"/>
      <c r="AL29" s="305"/>
      <c r="AM29" s="305"/>
      <c r="AN29" s="78"/>
      <c r="AO29" s="75"/>
      <c r="AP29" s="75"/>
      <c r="AQ29" s="75"/>
      <c r="AR29" s="75"/>
      <c r="AS29" s="78"/>
      <c r="AT29" s="82"/>
      <c r="AU29" s="82"/>
      <c r="AV29" s="321"/>
      <c r="AW29" s="325"/>
    </row>
    <row r="30" spans="1:49" x14ac:dyDescent="0.2">
      <c r="B30" s="164" t="s">
        <v>247</v>
      </c>
      <c r="C30" s="69"/>
      <c r="D30" s="116">
        <v>117733</v>
      </c>
      <c r="E30" s="117">
        <v>117733</v>
      </c>
      <c r="F30" s="117"/>
      <c r="G30" s="117"/>
      <c r="H30" s="117"/>
      <c r="I30" s="116">
        <v>77968.045617910306</v>
      </c>
      <c r="J30" s="116">
        <v>107835</v>
      </c>
      <c r="K30" s="117">
        <v>107835</v>
      </c>
      <c r="L30" s="117"/>
      <c r="M30" s="117"/>
      <c r="N30" s="117"/>
      <c r="O30" s="116"/>
      <c r="P30" s="116">
        <v>740195</v>
      </c>
      <c r="Q30" s="117">
        <v>740195</v>
      </c>
      <c r="R30" s="117"/>
      <c r="S30" s="117"/>
      <c r="T30" s="117"/>
      <c r="U30" s="116"/>
      <c r="V30" s="117"/>
      <c r="W30" s="117"/>
      <c r="X30" s="116"/>
      <c r="Y30" s="117"/>
      <c r="Z30" s="117"/>
      <c r="AA30" s="116"/>
      <c r="AB30" s="117"/>
      <c r="AC30" s="117"/>
      <c r="AD30" s="116"/>
      <c r="AE30" s="297"/>
      <c r="AF30" s="297"/>
      <c r="AG30" s="297"/>
      <c r="AH30" s="297"/>
      <c r="AI30" s="116"/>
      <c r="AJ30" s="297"/>
      <c r="AK30" s="297"/>
      <c r="AL30" s="297"/>
      <c r="AM30" s="297"/>
      <c r="AN30" s="116"/>
      <c r="AO30" s="117"/>
      <c r="AP30" s="117"/>
      <c r="AQ30" s="117"/>
      <c r="AR30" s="117"/>
      <c r="AS30" s="116">
        <v>158982</v>
      </c>
      <c r="AT30" s="120">
        <v>33840</v>
      </c>
      <c r="AU30" s="120"/>
      <c r="AV30" s="120"/>
      <c r="AW30" s="324"/>
    </row>
    <row r="31" spans="1:49" x14ac:dyDescent="0.2">
      <c r="B31" s="164"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7"/>
      <c r="AF31" s="297"/>
      <c r="AG31" s="297"/>
      <c r="AH31" s="297"/>
      <c r="AI31" s="116"/>
      <c r="AJ31" s="297"/>
      <c r="AK31" s="297"/>
      <c r="AL31" s="297"/>
      <c r="AM31" s="297"/>
      <c r="AN31" s="116"/>
      <c r="AO31" s="117"/>
      <c r="AP31" s="117"/>
      <c r="AQ31" s="117"/>
      <c r="AR31" s="117"/>
      <c r="AS31" s="116"/>
      <c r="AT31" s="120"/>
      <c r="AU31" s="120"/>
      <c r="AV31" s="120"/>
      <c r="AW31" s="324"/>
    </row>
    <row r="32" spans="1:49" ht="25.5" x14ac:dyDescent="0.2">
      <c r="B32" s="164"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7"/>
      <c r="AF32" s="297"/>
      <c r="AG32" s="297"/>
      <c r="AH32" s="297"/>
      <c r="AI32" s="116"/>
      <c r="AJ32" s="297"/>
      <c r="AK32" s="297"/>
      <c r="AL32" s="297"/>
      <c r="AM32" s="297"/>
      <c r="AN32" s="116"/>
      <c r="AO32" s="117"/>
      <c r="AP32" s="117"/>
      <c r="AQ32" s="117"/>
      <c r="AR32" s="117"/>
      <c r="AS32" s="116"/>
      <c r="AT32" s="120"/>
      <c r="AU32" s="120"/>
      <c r="AV32" s="120"/>
      <c r="AW32" s="324"/>
    </row>
    <row r="33" spans="1:49" x14ac:dyDescent="0.2">
      <c r="A33" s="10"/>
      <c r="B33" s="165" t="s">
        <v>250</v>
      </c>
      <c r="C33" s="69" t="s">
        <v>14</v>
      </c>
      <c r="D33" s="332"/>
      <c r="E33" s="333"/>
      <c r="F33" s="333"/>
      <c r="G33" s="333"/>
      <c r="H33" s="333"/>
      <c r="I33" s="332"/>
      <c r="J33" s="78"/>
      <c r="K33" s="75"/>
      <c r="L33" s="75"/>
      <c r="M33" s="75"/>
      <c r="N33" s="75"/>
      <c r="O33" s="78"/>
      <c r="P33" s="78"/>
      <c r="Q33" s="75"/>
      <c r="R33" s="75"/>
      <c r="S33" s="75"/>
      <c r="T33" s="75"/>
      <c r="U33" s="78"/>
      <c r="V33" s="75"/>
      <c r="W33" s="75"/>
      <c r="X33" s="78"/>
      <c r="Y33" s="75"/>
      <c r="Z33" s="75"/>
      <c r="AA33" s="78"/>
      <c r="AB33" s="75"/>
      <c r="AC33" s="75"/>
      <c r="AD33" s="78"/>
      <c r="AE33" s="305"/>
      <c r="AF33" s="305"/>
      <c r="AG33" s="305"/>
      <c r="AH33" s="305"/>
      <c r="AI33" s="78"/>
      <c r="AJ33" s="305"/>
      <c r="AK33" s="305"/>
      <c r="AL33" s="305"/>
      <c r="AM33" s="305"/>
      <c r="AN33" s="78"/>
      <c r="AO33" s="75"/>
      <c r="AP33" s="75"/>
      <c r="AQ33" s="75"/>
      <c r="AR33" s="75"/>
      <c r="AS33" s="78"/>
      <c r="AT33" s="82"/>
      <c r="AU33" s="82"/>
      <c r="AV33" s="321"/>
      <c r="AW33" s="325"/>
    </row>
    <row r="34" spans="1:49" x14ac:dyDescent="0.2">
      <c r="B34" s="164"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7"/>
      <c r="AF34" s="297"/>
      <c r="AG34" s="297"/>
      <c r="AH34" s="297"/>
      <c r="AI34" s="116"/>
      <c r="AJ34" s="297"/>
      <c r="AK34" s="297"/>
      <c r="AL34" s="297"/>
      <c r="AM34" s="297"/>
      <c r="AN34" s="116"/>
      <c r="AO34" s="117"/>
      <c r="AP34" s="117"/>
      <c r="AQ34" s="117"/>
      <c r="AR34" s="117"/>
      <c r="AS34" s="298"/>
      <c r="AT34" s="120"/>
      <c r="AU34" s="120"/>
      <c r="AV34" s="120"/>
      <c r="AW34" s="324"/>
    </row>
    <row r="35" spans="1:49" x14ac:dyDescent="0.2">
      <c r="B35" s="164" t="s">
        <v>252</v>
      </c>
      <c r="C35" s="69"/>
      <c r="D35" s="116">
        <v>366</v>
      </c>
      <c r="E35" s="117">
        <v>366</v>
      </c>
      <c r="F35" s="117"/>
      <c r="G35" s="117"/>
      <c r="H35" s="117"/>
      <c r="I35" s="116">
        <v>242.09703674197095</v>
      </c>
      <c r="J35" s="116">
        <v>335</v>
      </c>
      <c r="K35" s="117">
        <v>335</v>
      </c>
      <c r="L35" s="117"/>
      <c r="M35" s="117"/>
      <c r="N35" s="117"/>
      <c r="O35" s="116"/>
      <c r="P35" s="116">
        <v>2302</v>
      </c>
      <c r="Q35" s="117">
        <v>2302</v>
      </c>
      <c r="R35" s="117"/>
      <c r="S35" s="117"/>
      <c r="T35" s="117"/>
      <c r="U35" s="116"/>
      <c r="V35" s="117"/>
      <c r="W35" s="117"/>
      <c r="X35" s="116"/>
      <c r="Y35" s="117"/>
      <c r="Z35" s="117"/>
      <c r="AA35" s="116"/>
      <c r="AB35" s="117"/>
      <c r="AC35" s="117"/>
      <c r="AD35" s="116"/>
      <c r="AE35" s="297"/>
      <c r="AF35" s="297"/>
      <c r="AG35" s="297"/>
      <c r="AH35" s="297"/>
      <c r="AI35" s="116"/>
      <c r="AJ35" s="297"/>
      <c r="AK35" s="297"/>
      <c r="AL35" s="297"/>
      <c r="AM35" s="297"/>
      <c r="AN35" s="116"/>
      <c r="AO35" s="117"/>
      <c r="AP35" s="117"/>
      <c r="AQ35" s="117"/>
      <c r="AR35" s="117"/>
      <c r="AS35" s="116">
        <v>494</v>
      </c>
      <c r="AT35" s="120">
        <v>105</v>
      </c>
      <c r="AU35" s="120"/>
      <c r="AV35" s="120"/>
      <c r="AW35" s="324"/>
    </row>
    <row r="36" spans="1:49" ht="16.5" x14ac:dyDescent="0.2">
      <c r="B36" s="162"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69"/>
    </row>
    <row r="37" spans="1:49" x14ac:dyDescent="0.2">
      <c r="B37" s="166" t="s">
        <v>254</v>
      </c>
      <c r="C37" s="68" t="s">
        <v>15</v>
      </c>
      <c r="D37" s="124">
        <v>200593</v>
      </c>
      <c r="E37" s="125">
        <v>200593</v>
      </c>
      <c r="F37" s="125"/>
      <c r="G37" s="125"/>
      <c r="H37" s="125"/>
      <c r="I37" s="124">
        <v>132685.73059517826</v>
      </c>
      <c r="J37" s="124">
        <v>151397</v>
      </c>
      <c r="K37" s="125">
        <v>151297</v>
      </c>
      <c r="L37" s="125"/>
      <c r="M37" s="125"/>
      <c r="N37" s="125"/>
      <c r="O37" s="124"/>
      <c r="P37" s="124">
        <v>1060097</v>
      </c>
      <c r="Q37" s="125">
        <v>1060097</v>
      </c>
      <c r="R37" s="125"/>
      <c r="S37" s="125"/>
      <c r="T37" s="125"/>
      <c r="U37" s="124"/>
      <c r="V37" s="125"/>
      <c r="W37" s="125"/>
      <c r="X37" s="124"/>
      <c r="Y37" s="125"/>
      <c r="Z37" s="125"/>
      <c r="AA37" s="124"/>
      <c r="AB37" s="125"/>
      <c r="AC37" s="125"/>
      <c r="AD37" s="124"/>
      <c r="AE37" s="301"/>
      <c r="AF37" s="301"/>
      <c r="AG37" s="301"/>
      <c r="AH37" s="302"/>
      <c r="AI37" s="124"/>
      <c r="AJ37" s="301"/>
      <c r="AK37" s="301"/>
      <c r="AL37" s="301"/>
      <c r="AM37" s="302"/>
      <c r="AN37" s="124"/>
      <c r="AO37" s="125"/>
      <c r="AP37" s="125"/>
      <c r="AQ37" s="125"/>
      <c r="AR37" s="125"/>
      <c r="AS37" s="124">
        <v>227999</v>
      </c>
      <c r="AT37" s="126">
        <v>48482</v>
      </c>
      <c r="AU37" s="126"/>
      <c r="AV37" s="126"/>
      <c r="AW37" s="323"/>
    </row>
    <row r="38" spans="1:49" x14ac:dyDescent="0.2">
      <c r="B38" s="161" t="s">
        <v>255</v>
      </c>
      <c r="C38" s="69" t="s">
        <v>16</v>
      </c>
      <c r="D38" s="116">
        <v>42834</v>
      </c>
      <c r="E38" s="117">
        <v>42834</v>
      </c>
      <c r="F38" s="117"/>
      <c r="G38" s="117"/>
      <c r="H38" s="117"/>
      <c r="I38" s="116">
        <v>28333.294702775594</v>
      </c>
      <c r="J38" s="116">
        <v>32590</v>
      </c>
      <c r="K38" s="117">
        <v>32590</v>
      </c>
      <c r="L38" s="117"/>
      <c r="M38" s="117"/>
      <c r="N38" s="117"/>
      <c r="O38" s="116"/>
      <c r="P38" s="116">
        <v>228119</v>
      </c>
      <c r="Q38" s="117">
        <v>228119</v>
      </c>
      <c r="R38" s="117"/>
      <c r="S38" s="117"/>
      <c r="T38" s="117"/>
      <c r="U38" s="116"/>
      <c r="V38" s="117"/>
      <c r="W38" s="117"/>
      <c r="X38" s="116"/>
      <c r="Y38" s="117"/>
      <c r="Z38" s="117"/>
      <c r="AA38" s="116"/>
      <c r="AB38" s="117"/>
      <c r="AC38" s="117"/>
      <c r="AD38" s="116"/>
      <c r="AE38" s="297"/>
      <c r="AF38" s="297"/>
      <c r="AG38" s="297"/>
      <c r="AH38" s="297"/>
      <c r="AI38" s="116"/>
      <c r="AJ38" s="297"/>
      <c r="AK38" s="297"/>
      <c r="AL38" s="297"/>
      <c r="AM38" s="297"/>
      <c r="AN38" s="116"/>
      <c r="AO38" s="117"/>
      <c r="AP38" s="117"/>
      <c r="AQ38" s="117"/>
      <c r="AR38" s="117"/>
      <c r="AS38" s="116">
        <v>49059</v>
      </c>
      <c r="AT38" s="120">
        <v>10433</v>
      </c>
      <c r="AU38" s="120"/>
      <c r="AV38" s="120"/>
      <c r="AW38" s="324"/>
    </row>
    <row r="39" spans="1:49" x14ac:dyDescent="0.2">
      <c r="B39" s="164" t="s">
        <v>256</v>
      </c>
      <c r="C39" s="69" t="s">
        <v>17</v>
      </c>
      <c r="D39" s="116">
        <v>16294</v>
      </c>
      <c r="E39" s="117">
        <v>16294</v>
      </c>
      <c r="F39" s="117"/>
      <c r="G39" s="117"/>
      <c r="H39" s="117"/>
      <c r="I39" s="116">
        <v>10777.949850283081</v>
      </c>
      <c r="J39" s="116">
        <v>12057</v>
      </c>
      <c r="K39" s="117">
        <v>12057</v>
      </c>
      <c r="L39" s="117"/>
      <c r="M39" s="117"/>
      <c r="N39" s="117"/>
      <c r="O39" s="116"/>
      <c r="P39" s="116">
        <v>84672</v>
      </c>
      <c r="Q39" s="117">
        <v>84672</v>
      </c>
      <c r="R39" s="117"/>
      <c r="S39" s="117"/>
      <c r="T39" s="117"/>
      <c r="U39" s="116"/>
      <c r="V39" s="117"/>
      <c r="W39" s="117"/>
      <c r="X39" s="116"/>
      <c r="Y39" s="117"/>
      <c r="Z39" s="117"/>
      <c r="AA39" s="116"/>
      <c r="AB39" s="117"/>
      <c r="AC39" s="117"/>
      <c r="AD39" s="116"/>
      <c r="AE39" s="297"/>
      <c r="AF39" s="297"/>
      <c r="AG39" s="297"/>
      <c r="AH39" s="297"/>
      <c r="AI39" s="116"/>
      <c r="AJ39" s="297"/>
      <c r="AK39" s="297"/>
      <c r="AL39" s="297"/>
      <c r="AM39" s="297"/>
      <c r="AN39" s="116"/>
      <c r="AO39" s="117"/>
      <c r="AP39" s="117"/>
      <c r="AQ39" s="117"/>
      <c r="AR39" s="117"/>
      <c r="AS39" s="116">
        <v>18213</v>
      </c>
      <c r="AT39" s="120">
        <v>3873</v>
      </c>
      <c r="AU39" s="120"/>
      <c r="AV39" s="120"/>
      <c r="AW39" s="324"/>
    </row>
    <row r="40" spans="1:49" x14ac:dyDescent="0.2">
      <c r="B40" s="164" t="s">
        <v>257</v>
      </c>
      <c r="C40" s="69" t="s">
        <v>38</v>
      </c>
      <c r="D40" s="116">
        <v>115031</v>
      </c>
      <c r="E40" s="117">
        <v>115031</v>
      </c>
      <c r="F40" s="117"/>
      <c r="G40" s="117"/>
      <c r="H40" s="117"/>
      <c r="I40" s="116">
        <v>76089.256734252675</v>
      </c>
      <c r="J40" s="116">
        <v>84915</v>
      </c>
      <c r="K40" s="117">
        <v>84915</v>
      </c>
      <c r="L40" s="117"/>
      <c r="M40" s="117"/>
      <c r="N40" s="117"/>
      <c r="O40" s="116"/>
      <c r="P40" s="116">
        <v>596465</v>
      </c>
      <c r="Q40" s="117">
        <v>596465</v>
      </c>
      <c r="R40" s="117"/>
      <c r="S40" s="117"/>
      <c r="T40" s="117"/>
      <c r="U40" s="116"/>
      <c r="V40" s="117"/>
      <c r="W40" s="117"/>
      <c r="X40" s="116"/>
      <c r="Y40" s="117"/>
      <c r="Z40" s="117"/>
      <c r="AA40" s="116"/>
      <c r="AB40" s="117"/>
      <c r="AC40" s="117"/>
      <c r="AD40" s="116"/>
      <c r="AE40" s="297"/>
      <c r="AF40" s="297"/>
      <c r="AG40" s="297"/>
      <c r="AH40" s="297"/>
      <c r="AI40" s="116"/>
      <c r="AJ40" s="297"/>
      <c r="AK40" s="297"/>
      <c r="AL40" s="297"/>
      <c r="AM40" s="297"/>
      <c r="AN40" s="116"/>
      <c r="AO40" s="117"/>
      <c r="AP40" s="117"/>
      <c r="AQ40" s="117"/>
      <c r="AR40" s="117"/>
      <c r="AS40" s="116">
        <v>128305</v>
      </c>
      <c r="AT40" s="120">
        <v>27280</v>
      </c>
      <c r="AU40" s="120"/>
      <c r="AV40" s="120"/>
      <c r="AW40" s="324"/>
    </row>
    <row r="41" spans="1:49" s="12" customFormat="1" ht="25.5" x14ac:dyDescent="0.2">
      <c r="A41" s="42"/>
      <c r="B41" s="164" t="s">
        <v>258</v>
      </c>
      <c r="C41" s="69" t="s">
        <v>129</v>
      </c>
      <c r="D41" s="116">
        <v>172899</v>
      </c>
      <c r="E41" s="117">
        <v>172899</v>
      </c>
      <c r="F41" s="117"/>
      <c r="G41" s="117"/>
      <c r="H41" s="117"/>
      <c r="I41" s="116">
        <v>114367.05236062934</v>
      </c>
      <c r="J41" s="116">
        <v>127095</v>
      </c>
      <c r="K41" s="117">
        <v>127095</v>
      </c>
      <c r="L41" s="117"/>
      <c r="M41" s="117"/>
      <c r="N41" s="117"/>
      <c r="O41" s="116"/>
      <c r="P41" s="116">
        <v>893195</v>
      </c>
      <c r="Q41" s="117">
        <v>893195</v>
      </c>
      <c r="R41" s="117"/>
      <c r="S41" s="117"/>
      <c r="T41" s="117"/>
      <c r="U41" s="116"/>
      <c r="V41" s="117"/>
      <c r="W41" s="117"/>
      <c r="X41" s="116"/>
      <c r="Y41" s="117"/>
      <c r="Z41" s="117"/>
      <c r="AA41" s="116"/>
      <c r="AB41" s="117"/>
      <c r="AC41" s="117"/>
      <c r="AD41" s="116"/>
      <c r="AE41" s="297"/>
      <c r="AF41" s="297"/>
      <c r="AG41" s="297"/>
      <c r="AH41" s="297"/>
      <c r="AI41" s="116"/>
      <c r="AJ41" s="297"/>
      <c r="AK41" s="297"/>
      <c r="AL41" s="297"/>
      <c r="AM41" s="297"/>
      <c r="AN41" s="116"/>
      <c r="AO41" s="117"/>
      <c r="AP41" s="117"/>
      <c r="AQ41" s="117"/>
      <c r="AR41" s="117"/>
      <c r="AS41" s="116">
        <v>192140</v>
      </c>
      <c r="AT41" s="120">
        <v>40852</v>
      </c>
      <c r="AU41" s="120"/>
      <c r="AV41" s="120"/>
      <c r="AW41" s="324"/>
    </row>
    <row r="42" spans="1:49" s="12" customFormat="1" ht="24.95" customHeight="1" x14ac:dyDescent="0.2">
      <c r="A42" s="42"/>
      <c r="B42" s="161"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7"/>
      <c r="AF42" s="297"/>
      <c r="AG42" s="297"/>
      <c r="AH42" s="297"/>
      <c r="AI42" s="116"/>
      <c r="AJ42" s="297"/>
      <c r="AK42" s="297"/>
      <c r="AL42" s="297"/>
      <c r="AM42" s="297"/>
      <c r="AN42" s="116"/>
      <c r="AO42" s="117"/>
      <c r="AP42" s="117"/>
      <c r="AQ42" s="117"/>
      <c r="AR42" s="117"/>
      <c r="AS42" s="116"/>
      <c r="AT42" s="120"/>
      <c r="AU42" s="120"/>
      <c r="AV42" s="120"/>
      <c r="AW42" s="324"/>
    </row>
    <row r="43" spans="1:49" ht="16.5" x14ac:dyDescent="0.2">
      <c r="B43" s="162"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69"/>
    </row>
    <row r="44" spans="1:49" ht="25.5" x14ac:dyDescent="0.2">
      <c r="B44" s="166" t="s">
        <v>261</v>
      </c>
      <c r="C44" s="68" t="s">
        <v>18</v>
      </c>
      <c r="D44" s="124">
        <v>568484</v>
      </c>
      <c r="E44" s="125">
        <v>568484</v>
      </c>
      <c r="F44" s="125"/>
      <c r="G44" s="125"/>
      <c r="H44" s="125"/>
      <c r="I44" s="124">
        <v>376475.46945250686</v>
      </c>
      <c r="J44" s="124">
        <v>370027</v>
      </c>
      <c r="K44" s="125">
        <v>370027</v>
      </c>
      <c r="L44" s="125"/>
      <c r="M44" s="125"/>
      <c r="N44" s="125"/>
      <c r="O44" s="124"/>
      <c r="P44" s="124">
        <v>2640123</v>
      </c>
      <c r="Q44" s="125">
        <v>2640123</v>
      </c>
      <c r="R44" s="125"/>
      <c r="S44" s="125"/>
      <c r="T44" s="125"/>
      <c r="U44" s="124"/>
      <c r="V44" s="125"/>
      <c r="W44" s="125"/>
      <c r="X44" s="124"/>
      <c r="Y44" s="125"/>
      <c r="Z44" s="125"/>
      <c r="AA44" s="124"/>
      <c r="AB44" s="125"/>
      <c r="AC44" s="125"/>
      <c r="AD44" s="124"/>
      <c r="AE44" s="301"/>
      <c r="AF44" s="301"/>
      <c r="AG44" s="301"/>
      <c r="AH44" s="302"/>
      <c r="AI44" s="124"/>
      <c r="AJ44" s="301"/>
      <c r="AK44" s="301"/>
      <c r="AL44" s="301"/>
      <c r="AM44" s="302"/>
      <c r="AN44" s="124"/>
      <c r="AO44" s="125"/>
      <c r="AP44" s="125"/>
      <c r="AQ44" s="125"/>
      <c r="AR44" s="125"/>
      <c r="AS44" s="124">
        <v>568484</v>
      </c>
      <c r="AT44" s="126">
        <v>120782</v>
      </c>
      <c r="AU44" s="126"/>
      <c r="AV44" s="126"/>
      <c r="AW44" s="323"/>
    </row>
    <row r="45" spans="1:49" x14ac:dyDescent="0.2">
      <c r="B45" s="167" t="s">
        <v>262</v>
      </c>
      <c r="C45" s="69" t="s">
        <v>19</v>
      </c>
      <c r="D45" s="116">
        <v>1278662</v>
      </c>
      <c r="E45" s="117">
        <v>1278662</v>
      </c>
      <c r="F45" s="117"/>
      <c r="G45" s="117"/>
      <c r="H45" s="117"/>
      <c r="I45" s="116">
        <v>846787.02781622938</v>
      </c>
      <c r="J45" s="116">
        <v>832282</v>
      </c>
      <c r="K45" s="117">
        <v>832282</v>
      </c>
      <c r="L45" s="117"/>
      <c r="M45" s="117"/>
      <c r="N45" s="117"/>
      <c r="O45" s="116"/>
      <c r="P45" s="116">
        <v>5938292</v>
      </c>
      <c r="Q45" s="117">
        <v>5938292</v>
      </c>
      <c r="R45" s="117"/>
      <c r="S45" s="117"/>
      <c r="T45" s="117"/>
      <c r="U45" s="116"/>
      <c r="V45" s="117"/>
      <c r="W45" s="117"/>
      <c r="X45" s="116"/>
      <c r="Y45" s="117"/>
      <c r="Z45" s="117"/>
      <c r="AA45" s="116"/>
      <c r="AB45" s="117"/>
      <c r="AC45" s="117"/>
      <c r="AD45" s="116"/>
      <c r="AE45" s="297"/>
      <c r="AF45" s="297"/>
      <c r="AG45" s="297"/>
      <c r="AH45" s="297"/>
      <c r="AI45" s="116"/>
      <c r="AJ45" s="297"/>
      <c r="AK45" s="297"/>
      <c r="AL45" s="297"/>
      <c r="AM45" s="297"/>
      <c r="AN45" s="116"/>
      <c r="AO45" s="117"/>
      <c r="AP45" s="117"/>
      <c r="AQ45" s="117"/>
      <c r="AR45" s="117"/>
      <c r="AS45" s="116">
        <v>1278662</v>
      </c>
      <c r="AT45" s="120">
        <v>271668</v>
      </c>
      <c r="AU45" s="120"/>
      <c r="AV45" s="120"/>
      <c r="AW45" s="324"/>
    </row>
    <row r="46" spans="1:49" x14ac:dyDescent="0.2">
      <c r="B46" s="167"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7"/>
      <c r="AF46" s="297"/>
      <c r="AG46" s="297"/>
      <c r="AH46" s="297"/>
      <c r="AI46" s="116"/>
      <c r="AJ46" s="297"/>
      <c r="AK46" s="297"/>
      <c r="AL46" s="297"/>
      <c r="AM46" s="297"/>
      <c r="AN46" s="116"/>
      <c r="AO46" s="117"/>
      <c r="AP46" s="117"/>
      <c r="AQ46" s="117"/>
      <c r="AR46" s="117"/>
      <c r="AS46" s="116"/>
      <c r="AT46" s="120"/>
      <c r="AU46" s="120"/>
      <c r="AV46" s="120"/>
      <c r="AW46" s="324"/>
    </row>
    <row r="47" spans="1:49" x14ac:dyDescent="0.2">
      <c r="B47" s="167" t="s">
        <v>264</v>
      </c>
      <c r="C47" s="69" t="s">
        <v>21</v>
      </c>
      <c r="D47" s="116">
        <v>4120906</v>
      </c>
      <c r="E47" s="117">
        <v>4120906</v>
      </c>
      <c r="F47" s="117"/>
      <c r="G47" s="117"/>
      <c r="H47" s="117"/>
      <c r="I47" s="116">
        <v>2729047.8200259856</v>
      </c>
      <c r="J47" s="116">
        <v>949978</v>
      </c>
      <c r="K47" s="117">
        <v>949978</v>
      </c>
      <c r="L47" s="117"/>
      <c r="M47" s="117"/>
      <c r="N47" s="117"/>
      <c r="O47" s="116"/>
      <c r="P47" s="116">
        <v>6218649</v>
      </c>
      <c r="Q47" s="117">
        <v>6218649</v>
      </c>
      <c r="R47" s="117"/>
      <c r="S47" s="117"/>
      <c r="T47" s="117"/>
      <c r="U47" s="116"/>
      <c r="V47" s="117"/>
      <c r="W47" s="117"/>
      <c r="X47" s="116"/>
      <c r="Y47" s="117"/>
      <c r="Z47" s="117"/>
      <c r="AA47" s="116"/>
      <c r="AB47" s="117"/>
      <c r="AC47" s="117"/>
      <c r="AD47" s="116"/>
      <c r="AE47" s="297"/>
      <c r="AF47" s="297"/>
      <c r="AG47" s="297"/>
      <c r="AH47" s="297"/>
      <c r="AI47" s="116"/>
      <c r="AJ47" s="297"/>
      <c r="AK47" s="297"/>
      <c r="AL47" s="297"/>
      <c r="AM47" s="297"/>
      <c r="AN47" s="116"/>
      <c r="AO47" s="117"/>
      <c r="AP47" s="117"/>
      <c r="AQ47" s="117"/>
      <c r="AR47" s="117"/>
      <c r="AS47" s="116"/>
      <c r="AT47" s="120"/>
      <c r="AU47" s="120"/>
      <c r="AV47" s="120"/>
      <c r="AW47" s="324"/>
    </row>
    <row r="48" spans="1:49" x14ac:dyDescent="0.2">
      <c r="B48" s="168"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5"/>
      <c r="AF48" s="305"/>
      <c r="AG48" s="305"/>
      <c r="AH48" s="305"/>
      <c r="AI48" s="78"/>
      <c r="AJ48" s="305"/>
      <c r="AK48" s="305"/>
      <c r="AL48" s="305"/>
      <c r="AM48" s="305"/>
      <c r="AN48" s="78"/>
      <c r="AO48" s="75"/>
      <c r="AP48" s="75"/>
      <c r="AQ48" s="75"/>
      <c r="AR48" s="75"/>
      <c r="AS48" s="78"/>
      <c r="AT48" s="82"/>
      <c r="AU48" s="82"/>
      <c r="AV48" s="321"/>
      <c r="AW48" s="325"/>
    </row>
    <row r="49" spans="2:49" ht="25.5" x14ac:dyDescent="0.2">
      <c r="B49" s="167" t="s">
        <v>305</v>
      </c>
      <c r="C49" s="69"/>
      <c r="D49" s="116">
        <v>334493</v>
      </c>
      <c r="E49" s="117">
        <v>334493</v>
      </c>
      <c r="F49" s="117"/>
      <c r="G49" s="117"/>
      <c r="H49" s="117"/>
      <c r="I49" s="116">
        <v>221516.1890283234</v>
      </c>
      <c r="J49" s="116">
        <v>306374</v>
      </c>
      <c r="K49" s="117">
        <v>306374</v>
      </c>
      <c r="L49" s="117"/>
      <c r="M49" s="117"/>
      <c r="N49" s="117"/>
      <c r="O49" s="116"/>
      <c r="P49" s="116">
        <v>2102988</v>
      </c>
      <c r="Q49" s="117">
        <v>2102988</v>
      </c>
      <c r="R49" s="117"/>
      <c r="S49" s="117"/>
      <c r="T49" s="117"/>
      <c r="U49" s="116"/>
      <c r="V49" s="117"/>
      <c r="W49" s="117"/>
      <c r="X49" s="116"/>
      <c r="Y49" s="117"/>
      <c r="Z49" s="117"/>
      <c r="AA49" s="116"/>
      <c r="AB49" s="117"/>
      <c r="AC49" s="117"/>
      <c r="AD49" s="116"/>
      <c r="AE49" s="297"/>
      <c r="AF49" s="297"/>
      <c r="AG49" s="297"/>
      <c r="AH49" s="297"/>
      <c r="AI49" s="116"/>
      <c r="AJ49" s="297"/>
      <c r="AK49" s="297"/>
      <c r="AL49" s="297"/>
      <c r="AM49" s="297"/>
      <c r="AN49" s="116"/>
      <c r="AO49" s="117"/>
      <c r="AP49" s="117"/>
      <c r="AQ49" s="117"/>
      <c r="AR49" s="117"/>
      <c r="AS49" s="116">
        <v>451687</v>
      </c>
      <c r="AT49" s="120">
        <v>96143</v>
      </c>
      <c r="AU49" s="120"/>
      <c r="AV49" s="120"/>
      <c r="AW49" s="324"/>
    </row>
    <row r="50" spans="2:49" ht="25.5" x14ac:dyDescent="0.2">
      <c r="B50" s="161"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7"/>
      <c r="AF50" s="297"/>
      <c r="AG50" s="297"/>
      <c r="AH50" s="297"/>
      <c r="AI50" s="116"/>
      <c r="AJ50" s="297"/>
      <c r="AK50" s="297"/>
      <c r="AL50" s="297"/>
      <c r="AM50" s="297"/>
      <c r="AN50" s="116"/>
      <c r="AO50" s="117"/>
      <c r="AP50" s="117"/>
      <c r="AQ50" s="117"/>
      <c r="AR50" s="117"/>
      <c r="AS50" s="116"/>
      <c r="AT50" s="120"/>
      <c r="AU50" s="120"/>
      <c r="AV50" s="120"/>
      <c r="AW50" s="324"/>
    </row>
    <row r="51" spans="2:49" x14ac:dyDescent="0.2">
      <c r="B51" s="161" t="s">
        <v>267</v>
      </c>
      <c r="C51" s="69"/>
      <c r="D51" s="116">
        <v>11793077</v>
      </c>
      <c r="E51" s="117">
        <v>11793077</v>
      </c>
      <c r="F51" s="117"/>
      <c r="G51" s="117"/>
      <c r="H51" s="117"/>
      <c r="I51" s="116">
        <v>10083553.413185067</v>
      </c>
      <c r="J51" s="116">
        <v>7676125</v>
      </c>
      <c r="K51" s="117">
        <v>7676125</v>
      </c>
      <c r="L51" s="117"/>
      <c r="M51" s="117"/>
      <c r="N51" s="117"/>
      <c r="O51" s="116"/>
      <c r="P51" s="116">
        <v>54768750</v>
      </c>
      <c r="Q51" s="117">
        <v>54768750</v>
      </c>
      <c r="R51" s="117"/>
      <c r="S51" s="117"/>
      <c r="T51" s="117"/>
      <c r="U51" s="116"/>
      <c r="V51" s="117"/>
      <c r="W51" s="117"/>
      <c r="X51" s="116"/>
      <c r="Y51" s="117"/>
      <c r="Z51" s="117"/>
      <c r="AA51" s="116"/>
      <c r="AB51" s="117"/>
      <c r="AC51" s="117"/>
      <c r="AD51" s="116"/>
      <c r="AE51" s="297"/>
      <c r="AF51" s="297"/>
      <c r="AG51" s="297"/>
      <c r="AH51" s="297"/>
      <c r="AI51" s="116"/>
      <c r="AJ51" s="297"/>
      <c r="AK51" s="297"/>
      <c r="AL51" s="297"/>
      <c r="AM51" s="297"/>
      <c r="AN51" s="116"/>
      <c r="AO51" s="117"/>
      <c r="AP51" s="117"/>
      <c r="AQ51" s="117"/>
      <c r="AR51" s="117"/>
      <c r="AS51" s="116">
        <v>11793077</v>
      </c>
      <c r="AT51" s="120">
        <v>2505586</v>
      </c>
      <c r="AU51" s="120"/>
      <c r="AV51" s="120"/>
      <c r="AW51" s="324"/>
    </row>
    <row r="52" spans="2:49" ht="25.5" x14ac:dyDescent="0.2">
      <c r="B52" s="161"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7"/>
      <c r="AF52" s="297"/>
      <c r="AG52" s="297"/>
      <c r="AH52" s="297"/>
      <c r="AI52" s="116"/>
      <c r="AJ52" s="297"/>
      <c r="AK52" s="297"/>
      <c r="AL52" s="297"/>
      <c r="AM52" s="297"/>
      <c r="AN52" s="116"/>
      <c r="AO52" s="117"/>
      <c r="AP52" s="117"/>
      <c r="AQ52" s="117"/>
      <c r="AR52" s="117"/>
      <c r="AS52" s="116"/>
      <c r="AT52" s="120"/>
      <c r="AU52" s="120"/>
      <c r="AV52" s="120"/>
      <c r="AW52" s="324"/>
    </row>
    <row r="53" spans="2:49" ht="25.5" x14ac:dyDescent="0.2">
      <c r="B53" s="161" t="s">
        <v>269</v>
      </c>
      <c r="C53" s="69" t="s">
        <v>88</v>
      </c>
      <c r="D53" s="116"/>
      <c r="E53" s="117"/>
      <c r="F53" s="117"/>
      <c r="G53" s="295"/>
      <c r="H53" s="295"/>
      <c r="I53" s="116"/>
      <c r="J53" s="116"/>
      <c r="K53" s="117"/>
      <c r="L53" s="117"/>
      <c r="M53" s="295"/>
      <c r="N53" s="295"/>
      <c r="O53" s="116"/>
      <c r="P53" s="116"/>
      <c r="Q53" s="117"/>
      <c r="R53" s="117"/>
      <c r="S53" s="295"/>
      <c r="T53" s="295"/>
      <c r="U53" s="116"/>
      <c r="V53" s="117"/>
      <c r="W53" s="117"/>
      <c r="X53" s="116"/>
      <c r="Y53" s="117"/>
      <c r="Z53" s="117"/>
      <c r="AA53" s="116"/>
      <c r="AB53" s="117"/>
      <c r="AC53" s="117"/>
      <c r="AD53" s="116"/>
      <c r="AE53" s="297"/>
      <c r="AF53" s="297"/>
      <c r="AG53" s="297"/>
      <c r="AH53" s="297"/>
      <c r="AI53" s="116"/>
      <c r="AJ53" s="297"/>
      <c r="AK53" s="297"/>
      <c r="AL53" s="297"/>
      <c r="AM53" s="297"/>
      <c r="AN53" s="116"/>
      <c r="AO53" s="117"/>
      <c r="AP53" s="117"/>
      <c r="AQ53" s="295"/>
      <c r="AR53" s="295"/>
      <c r="AS53" s="116"/>
      <c r="AT53" s="120"/>
      <c r="AU53" s="120"/>
      <c r="AV53" s="120"/>
      <c r="AW53" s="324"/>
    </row>
    <row r="54" spans="2:49" ht="16.5" x14ac:dyDescent="0.2">
      <c r="B54" s="162" t="s">
        <v>270</v>
      </c>
      <c r="C54" s="71"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7"/>
      <c r="AW54" s="322"/>
    </row>
    <row r="55" spans="2:49" ht="16.5" x14ac:dyDescent="0.2">
      <c r="B55" s="162" t="s">
        <v>271</v>
      </c>
      <c r="C55" s="70"/>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8" t="s">
        <v>24</v>
      </c>
      <c r="D56" s="128">
        <v>16440</v>
      </c>
      <c r="E56" s="129">
        <v>11459</v>
      </c>
      <c r="F56" s="129">
        <v>11459</v>
      </c>
      <c r="G56" s="129"/>
      <c r="H56" s="129"/>
      <c r="I56" s="128"/>
      <c r="J56" s="128"/>
      <c r="K56" s="129">
        <v>61949</v>
      </c>
      <c r="L56" s="129">
        <v>61949</v>
      </c>
      <c r="M56" s="129"/>
      <c r="N56" s="129"/>
      <c r="O56" s="128"/>
      <c r="P56" s="128"/>
      <c r="Q56" s="129"/>
      <c r="R56" s="129"/>
      <c r="S56" s="129"/>
      <c r="T56" s="129"/>
      <c r="U56" s="128"/>
      <c r="V56" s="129"/>
      <c r="W56" s="129"/>
      <c r="X56" s="128"/>
      <c r="Y56" s="129"/>
      <c r="Z56" s="129"/>
      <c r="AA56" s="128"/>
      <c r="AB56" s="129"/>
      <c r="AC56" s="129"/>
      <c r="AD56" s="128"/>
      <c r="AE56" s="306"/>
      <c r="AF56" s="306"/>
      <c r="AG56" s="306"/>
      <c r="AH56" s="307"/>
      <c r="AI56" s="128"/>
      <c r="AJ56" s="306"/>
      <c r="AK56" s="306"/>
      <c r="AL56" s="306"/>
      <c r="AM56" s="307"/>
      <c r="AN56" s="128"/>
      <c r="AO56" s="129"/>
      <c r="AP56" s="129"/>
      <c r="AQ56" s="129"/>
      <c r="AR56" s="129"/>
      <c r="AS56" s="128">
        <v>66313</v>
      </c>
      <c r="AT56" s="130">
        <v>1488</v>
      </c>
      <c r="AU56" s="130"/>
      <c r="AV56" s="130"/>
      <c r="AW56" s="315"/>
    </row>
    <row r="57" spans="2:49" x14ac:dyDescent="0.2">
      <c r="B57" s="167" t="s">
        <v>273</v>
      </c>
      <c r="C57" s="69" t="s">
        <v>25</v>
      </c>
      <c r="D57" s="131">
        <v>22568</v>
      </c>
      <c r="E57" s="132">
        <v>22435</v>
      </c>
      <c r="F57" s="132">
        <v>22435</v>
      </c>
      <c r="G57" s="132"/>
      <c r="H57" s="132"/>
      <c r="I57" s="131"/>
      <c r="J57" s="131"/>
      <c r="K57" s="132">
        <v>137252</v>
      </c>
      <c r="L57" s="132">
        <v>137252</v>
      </c>
      <c r="M57" s="132"/>
      <c r="N57" s="132"/>
      <c r="O57" s="131"/>
      <c r="P57" s="131"/>
      <c r="Q57" s="132"/>
      <c r="R57" s="132"/>
      <c r="S57" s="132"/>
      <c r="T57" s="132"/>
      <c r="U57" s="131"/>
      <c r="V57" s="132"/>
      <c r="W57" s="132"/>
      <c r="X57" s="131"/>
      <c r="Y57" s="132"/>
      <c r="Z57" s="132"/>
      <c r="AA57" s="131"/>
      <c r="AB57" s="132"/>
      <c r="AC57" s="132"/>
      <c r="AD57" s="131"/>
      <c r="AE57" s="308"/>
      <c r="AF57" s="308"/>
      <c r="AG57" s="308"/>
      <c r="AH57" s="309"/>
      <c r="AI57" s="131"/>
      <c r="AJ57" s="308"/>
      <c r="AK57" s="308"/>
      <c r="AL57" s="308"/>
      <c r="AM57" s="309"/>
      <c r="AN57" s="131"/>
      <c r="AO57" s="132"/>
      <c r="AP57" s="132"/>
      <c r="AQ57" s="132"/>
      <c r="AR57" s="132"/>
      <c r="AS57" s="131">
        <v>66313</v>
      </c>
      <c r="AT57" s="133">
        <v>1488</v>
      </c>
      <c r="AU57" s="133"/>
      <c r="AV57" s="133"/>
      <c r="AW57" s="316"/>
    </row>
    <row r="58" spans="2:49" x14ac:dyDescent="0.2">
      <c r="B58" s="167" t="s">
        <v>274</v>
      </c>
      <c r="C58" s="69" t="s">
        <v>26</v>
      </c>
      <c r="D58" s="336"/>
      <c r="E58" s="337"/>
      <c r="F58" s="337"/>
      <c r="G58" s="337"/>
      <c r="H58" s="337"/>
      <c r="I58" s="336"/>
      <c r="J58" s="131"/>
      <c r="K58" s="132">
        <v>268</v>
      </c>
      <c r="L58" s="132">
        <v>268</v>
      </c>
      <c r="M58" s="132"/>
      <c r="N58" s="132"/>
      <c r="O58" s="131"/>
      <c r="P58" s="131"/>
      <c r="Q58" s="132"/>
      <c r="R58" s="132"/>
      <c r="S58" s="132"/>
      <c r="T58" s="132"/>
      <c r="U58" s="336"/>
      <c r="V58" s="337"/>
      <c r="W58" s="337"/>
      <c r="X58" s="131"/>
      <c r="Y58" s="132"/>
      <c r="Z58" s="132"/>
      <c r="AA58" s="131"/>
      <c r="AB58" s="132"/>
      <c r="AC58" s="132"/>
      <c r="AD58" s="131"/>
      <c r="AE58" s="308"/>
      <c r="AF58" s="308"/>
      <c r="AG58" s="308"/>
      <c r="AH58" s="309"/>
      <c r="AI58" s="131"/>
      <c r="AJ58" s="308"/>
      <c r="AK58" s="308"/>
      <c r="AL58" s="308"/>
      <c r="AM58" s="309"/>
      <c r="AN58" s="336"/>
      <c r="AO58" s="337"/>
      <c r="AP58" s="337"/>
      <c r="AQ58" s="337"/>
      <c r="AR58" s="337"/>
      <c r="AS58" s="131">
        <v>3</v>
      </c>
      <c r="AT58" s="133">
        <v>3</v>
      </c>
      <c r="AU58" s="133"/>
      <c r="AV58" s="133"/>
      <c r="AW58" s="316"/>
    </row>
    <row r="59" spans="2:49" x14ac:dyDescent="0.2">
      <c r="B59" s="167" t="s">
        <v>275</v>
      </c>
      <c r="C59" s="69" t="s">
        <v>27</v>
      </c>
      <c r="D59" s="131">
        <v>224232</v>
      </c>
      <c r="E59" s="132">
        <v>226289</v>
      </c>
      <c r="F59" s="132">
        <v>226289</v>
      </c>
      <c r="G59" s="132"/>
      <c r="H59" s="132"/>
      <c r="I59" s="131"/>
      <c r="J59" s="131"/>
      <c r="K59" s="132">
        <v>1658907</v>
      </c>
      <c r="L59" s="132">
        <v>1658907</v>
      </c>
      <c r="M59" s="132"/>
      <c r="N59" s="132"/>
      <c r="O59" s="131"/>
      <c r="P59" s="131"/>
      <c r="Q59" s="132"/>
      <c r="R59" s="132"/>
      <c r="S59" s="132"/>
      <c r="T59" s="132"/>
      <c r="U59" s="131"/>
      <c r="V59" s="132"/>
      <c r="W59" s="132"/>
      <c r="X59" s="131"/>
      <c r="Y59" s="132"/>
      <c r="Z59" s="132"/>
      <c r="AA59" s="131"/>
      <c r="AB59" s="132"/>
      <c r="AC59" s="132"/>
      <c r="AD59" s="131"/>
      <c r="AE59" s="308"/>
      <c r="AF59" s="308"/>
      <c r="AG59" s="308"/>
      <c r="AH59" s="309"/>
      <c r="AI59" s="131"/>
      <c r="AJ59" s="308"/>
      <c r="AK59" s="308"/>
      <c r="AL59" s="308"/>
      <c r="AM59" s="309"/>
      <c r="AN59" s="131"/>
      <c r="AO59" s="132"/>
      <c r="AP59" s="132"/>
      <c r="AQ59" s="132"/>
      <c r="AR59" s="132"/>
      <c r="AS59" s="131">
        <v>760559</v>
      </c>
      <c r="AT59" s="133">
        <v>18186</v>
      </c>
      <c r="AU59" s="133"/>
      <c r="AV59" s="133"/>
      <c r="AW59" s="316"/>
    </row>
    <row r="60" spans="2:49" x14ac:dyDescent="0.2">
      <c r="B60" s="167" t="s">
        <v>276</v>
      </c>
      <c r="C60" s="69"/>
      <c r="D60" s="134">
        <f>D$59/12</f>
        <v>18686</v>
      </c>
      <c r="E60" s="135">
        <f t="shared" ref="E60:Q60" si="0">E$59/12</f>
        <v>18857.416666666668</v>
      </c>
      <c r="F60" s="135">
        <f t="shared" si="0"/>
        <v>18857.416666666668</v>
      </c>
      <c r="G60" s="135">
        <f t="shared" si="0"/>
        <v>0</v>
      </c>
      <c r="H60" s="135">
        <f t="shared" si="0"/>
        <v>0</v>
      </c>
      <c r="I60" s="134">
        <f t="shared" si="0"/>
        <v>0</v>
      </c>
      <c r="J60" s="134">
        <f t="shared" si="0"/>
        <v>0</v>
      </c>
      <c r="K60" s="135">
        <f t="shared" si="0"/>
        <v>138242.25</v>
      </c>
      <c r="L60" s="135">
        <f t="shared" si="0"/>
        <v>138242.25</v>
      </c>
      <c r="M60" s="135">
        <f t="shared" si="0"/>
        <v>0</v>
      </c>
      <c r="N60" s="135">
        <f t="shared" si="0"/>
        <v>0</v>
      </c>
      <c r="O60" s="134">
        <f t="shared" si="0"/>
        <v>0</v>
      </c>
      <c r="P60" s="134">
        <f t="shared" si="0"/>
        <v>0</v>
      </c>
      <c r="Q60" s="135">
        <f t="shared" si="0"/>
        <v>0</v>
      </c>
      <c r="R60" s="135"/>
      <c r="S60" s="135"/>
      <c r="T60" s="135"/>
      <c r="U60" s="134"/>
      <c r="V60" s="135"/>
      <c r="W60" s="135"/>
      <c r="X60" s="134"/>
      <c r="Y60" s="135"/>
      <c r="Z60" s="135"/>
      <c r="AA60" s="134"/>
      <c r="AB60" s="135"/>
      <c r="AC60" s="135"/>
      <c r="AD60" s="134"/>
      <c r="AE60" s="310"/>
      <c r="AF60" s="310"/>
      <c r="AG60" s="310"/>
      <c r="AH60" s="311"/>
      <c r="AI60" s="134"/>
      <c r="AJ60" s="310"/>
      <c r="AK60" s="310"/>
      <c r="AL60" s="310"/>
      <c r="AM60" s="311"/>
      <c r="AN60" s="134"/>
      <c r="AO60" s="135"/>
      <c r="AP60" s="135"/>
      <c r="AQ60" s="135"/>
      <c r="AR60" s="135"/>
      <c r="AS60" s="134">
        <f t="shared" ref="AS60:AT60" si="1">AS$59/12</f>
        <v>63379.916666666664</v>
      </c>
      <c r="AT60" s="136">
        <f t="shared" si="1"/>
        <v>1515.5</v>
      </c>
      <c r="AU60" s="136"/>
      <c r="AV60" s="136"/>
      <c r="AW60" s="316"/>
    </row>
    <row r="61" spans="2:49" ht="16.5" x14ac:dyDescent="0.2">
      <c r="B61" s="162" t="s">
        <v>277</v>
      </c>
      <c r="C61" s="71"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0" priority="37" stopIfTrue="1" operator="lessThan">
      <formula>0</formula>
    </cfRule>
  </conditionalFormatting>
  <conditionalFormatting sqref="AS53">
    <cfRule type="cellIs" dxfId="589" priority="36" stopIfTrue="1" operator="lessThan">
      <formula>0</formula>
    </cfRule>
  </conditionalFormatting>
  <conditionalFormatting sqref="G56:I57 G59:I59 D59 D56:D57 G7:I7 E13:F15 D6:D8 D13:D21 D10">
    <cfRule type="cellIs" dxfId="588" priority="99" stopIfTrue="1" operator="lessThan">
      <formula>0</formula>
    </cfRule>
  </conditionalFormatting>
  <conditionalFormatting sqref="AI34:AI35">
    <cfRule type="cellIs" dxfId="587" priority="54" stopIfTrue="1" operator="lessThan">
      <formula>0</formula>
    </cfRule>
  </conditionalFormatting>
  <conditionalFormatting sqref="AQ56:AR57 AQ59:AR59 AN59 AN56:AN57">
    <cfRule type="cellIs" dxfId="586" priority="4" stopIfTrue="1" operator="lessThan">
      <formula>0</formula>
    </cfRule>
  </conditionalFormatting>
  <conditionalFormatting sqref="M7:O7 J6:J10">
    <cfRule type="cellIs" dxfId="585" priority="96" stopIfTrue="1" operator="lessThan">
      <formula>0</formula>
    </cfRule>
  </conditionalFormatting>
  <conditionalFormatting sqref="S7:T7 P6:P10">
    <cfRule type="cellIs" dxfId="584" priority="94" stopIfTrue="1" operator="lessThan">
      <formula>0</formula>
    </cfRule>
  </conditionalFormatting>
  <conditionalFormatting sqref="U6:U10">
    <cfRule type="cellIs" dxfId="583" priority="93" stopIfTrue="1" operator="lessThan">
      <formula>0</formula>
    </cfRule>
  </conditionalFormatting>
  <conditionalFormatting sqref="X6:X10">
    <cfRule type="cellIs" dxfId="582" priority="92" stopIfTrue="1" operator="lessThan">
      <formula>0</formula>
    </cfRule>
  </conditionalFormatting>
  <conditionalFormatting sqref="AA6:AA10">
    <cfRule type="cellIs" dxfId="581" priority="91" stopIfTrue="1" operator="lessThan">
      <formula>0</formula>
    </cfRule>
  </conditionalFormatting>
  <conditionalFormatting sqref="AD6:AD10">
    <cfRule type="cellIs" dxfId="580" priority="90" stopIfTrue="1" operator="lessThan">
      <formula>0</formula>
    </cfRule>
  </conditionalFormatting>
  <conditionalFormatting sqref="AI6:AI10">
    <cfRule type="cellIs" dxfId="579" priority="89" stopIfTrue="1" operator="lessThan">
      <formula>0</formula>
    </cfRule>
  </conditionalFormatting>
  <conditionalFormatting sqref="AT6:AT10">
    <cfRule type="cellIs" dxfId="578" priority="86" stopIfTrue="1" operator="lessThan">
      <formula>0</formula>
    </cfRule>
  </conditionalFormatting>
  <conditionalFormatting sqref="AS6:AS10">
    <cfRule type="cellIs" dxfId="577" priority="87" stopIfTrue="1" operator="lessThan">
      <formula>0</formula>
    </cfRule>
  </conditionalFormatting>
  <conditionalFormatting sqref="AU6:AU10">
    <cfRule type="cellIs" dxfId="576" priority="85" stopIfTrue="1" operator="lessThan">
      <formula>0</formula>
    </cfRule>
  </conditionalFormatting>
  <conditionalFormatting sqref="I13:I15">
    <cfRule type="cellIs" dxfId="575" priority="84" stopIfTrue="1" operator="lessThan">
      <formula>0</formula>
    </cfRule>
  </conditionalFormatting>
  <conditionalFormatting sqref="K13:L15 J13:J21">
    <cfRule type="cellIs" dxfId="574" priority="83" stopIfTrue="1" operator="lessThan">
      <formula>0</formula>
    </cfRule>
  </conditionalFormatting>
  <conditionalFormatting sqref="O13:O15">
    <cfRule type="cellIs" dxfId="573" priority="82" stopIfTrue="1" operator="lessThan">
      <formula>0</formula>
    </cfRule>
  </conditionalFormatting>
  <conditionalFormatting sqref="V13:V15 U13:U21">
    <cfRule type="cellIs" dxfId="572" priority="80" stopIfTrue="1" operator="lessThan">
      <formula>0</formula>
    </cfRule>
  </conditionalFormatting>
  <conditionalFormatting sqref="W13:W15">
    <cfRule type="cellIs" dxfId="571" priority="79" stopIfTrue="1" operator="lessThan">
      <formula>0</formula>
    </cfRule>
  </conditionalFormatting>
  <conditionalFormatting sqref="Y13:Y15 X13:X21">
    <cfRule type="cellIs" dxfId="570" priority="78" stopIfTrue="1" operator="lessThan">
      <formula>0</formula>
    </cfRule>
  </conditionalFormatting>
  <conditionalFormatting sqref="Z13:Z15">
    <cfRule type="cellIs" dxfId="569" priority="77" stopIfTrue="1" operator="lessThan">
      <formula>0</formula>
    </cfRule>
  </conditionalFormatting>
  <conditionalFormatting sqref="AB13:AB15 AA13:AA21">
    <cfRule type="cellIs" dxfId="568" priority="76" stopIfTrue="1" operator="lessThan">
      <formula>0</formula>
    </cfRule>
  </conditionalFormatting>
  <conditionalFormatting sqref="AC13:AC15">
    <cfRule type="cellIs" dxfId="567" priority="75" stopIfTrue="1" operator="lessThan">
      <formula>0</formula>
    </cfRule>
  </conditionalFormatting>
  <conditionalFormatting sqref="AD13:AD21">
    <cfRule type="cellIs" dxfId="566" priority="74" stopIfTrue="1" operator="lessThan">
      <formula>0</formula>
    </cfRule>
  </conditionalFormatting>
  <conditionalFormatting sqref="AI13:AI21">
    <cfRule type="cellIs" dxfId="565" priority="73" stopIfTrue="1" operator="lessThan">
      <formula>0</formula>
    </cfRule>
  </conditionalFormatting>
  <conditionalFormatting sqref="AT13:AT21">
    <cfRule type="cellIs" dxfId="564" priority="70" stopIfTrue="1" operator="lessThan">
      <formula>0</formula>
    </cfRule>
  </conditionalFormatting>
  <conditionalFormatting sqref="AS13:AS21">
    <cfRule type="cellIs" dxfId="563" priority="71" stopIfTrue="1" operator="lessThan">
      <formula>0</formula>
    </cfRule>
  </conditionalFormatting>
  <conditionalFormatting sqref="AU13:AU21">
    <cfRule type="cellIs" dxfId="562" priority="69" stopIfTrue="1" operator="lessThan">
      <formula>0</formula>
    </cfRule>
  </conditionalFormatting>
  <conditionalFormatting sqref="D53:F53">
    <cfRule type="cellIs" dxfId="561" priority="62" stopIfTrue="1" operator="lessThan">
      <formula>0</formula>
    </cfRule>
  </conditionalFormatting>
  <conditionalFormatting sqref="I53">
    <cfRule type="cellIs" dxfId="560" priority="61" stopIfTrue="1" operator="lessThan">
      <formula>0</formula>
    </cfRule>
  </conditionalFormatting>
  <conditionalFormatting sqref="J53:L53">
    <cfRule type="cellIs" dxfId="559" priority="60" stopIfTrue="1" operator="lessThan">
      <formula>0</formula>
    </cfRule>
  </conditionalFormatting>
  <conditionalFormatting sqref="O53">
    <cfRule type="cellIs" dxfId="558" priority="59" stopIfTrue="1" operator="lessThan">
      <formula>0</formula>
    </cfRule>
  </conditionalFormatting>
  <conditionalFormatting sqref="P53:R53">
    <cfRule type="cellIs" dxfId="557" priority="58" stopIfTrue="1" operator="lessThan">
      <formula>0</formula>
    </cfRule>
  </conditionalFormatting>
  <conditionalFormatting sqref="U53:AD53">
    <cfRule type="cellIs" dxfId="556" priority="57" stopIfTrue="1" operator="lessThan">
      <formula>0</formula>
    </cfRule>
  </conditionalFormatting>
  <conditionalFormatting sqref="AI25:AI28">
    <cfRule type="cellIs" dxfId="555" priority="56" stopIfTrue="1" operator="lessThan">
      <formula>0</formula>
    </cfRule>
  </conditionalFormatting>
  <conditionalFormatting sqref="AI30:AI32">
    <cfRule type="cellIs" dxfId="554" priority="55" stopIfTrue="1" operator="lessThan">
      <formula>0</formula>
    </cfRule>
  </conditionalFormatting>
  <conditionalFormatting sqref="AN25:AR28">
    <cfRule type="cellIs" dxfId="553" priority="53" stopIfTrue="1" operator="lessThan">
      <formula>0</formula>
    </cfRule>
  </conditionalFormatting>
  <conditionalFormatting sqref="AN30:AR32">
    <cfRule type="cellIs" dxfId="552" priority="52" stopIfTrue="1" operator="lessThan">
      <formula>0</formula>
    </cfRule>
  </conditionalFormatting>
  <conditionalFormatting sqref="AN34:AR35">
    <cfRule type="cellIs" dxfId="551" priority="51" stopIfTrue="1" operator="lessThan">
      <formula>0</formula>
    </cfRule>
  </conditionalFormatting>
  <conditionalFormatting sqref="AS25:AV26 AS27:AU27">
    <cfRule type="cellIs" dxfId="550" priority="50" stopIfTrue="1" operator="lessThan">
      <formula>0</formula>
    </cfRule>
  </conditionalFormatting>
  <conditionalFormatting sqref="AS28:AV28">
    <cfRule type="cellIs" dxfId="549" priority="49" stopIfTrue="1" operator="lessThan">
      <formula>0</formula>
    </cfRule>
  </conditionalFormatting>
  <conditionalFormatting sqref="AS30:AV32">
    <cfRule type="cellIs" dxfId="548" priority="48" stopIfTrue="1" operator="lessThan">
      <formula>0</formula>
    </cfRule>
  </conditionalFormatting>
  <conditionalFormatting sqref="AI44:AI47">
    <cfRule type="cellIs" dxfId="547" priority="47" stopIfTrue="1" operator="lessThan">
      <formula>0</formula>
    </cfRule>
  </conditionalFormatting>
  <conditionalFormatting sqref="AI49:AI52">
    <cfRule type="cellIs" dxfId="546" priority="46" stopIfTrue="1" operator="lessThan">
      <formula>0</formula>
    </cfRule>
  </conditionalFormatting>
  <conditionalFormatting sqref="AI53">
    <cfRule type="cellIs" dxfId="545" priority="45" stopIfTrue="1" operator="lessThan">
      <formula>0</formula>
    </cfRule>
  </conditionalFormatting>
  <conditionalFormatting sqref="AI37:AI42">
    <cfRule type="cellIs" dxfId="544" priority="44" stopIfTrue="1" operator="lessThan">
      <formula>0</formula>
    </cfRule>
  </conditionalFormatting>
  <conditionalFormatting sqref="AN37:AR42">
    <cfRule type="cellIs" dxfId="543" priority="43" stopIfTrue="1" operator="lessThan">
      <formula>0</formula>
    </cfRule>
  </conditionalFormatting>
  <conditionalFormatting sqref="AN44:AR47">
    <cfRule type="cellIs" dxfId="542" priority="42" stopIfTrue="1" operator="lessThan">
      <formula>0</formula>
    </cfRule>
  </conditionalFormatting>
  <conditionalFormatting sqref="AN49:AR52">
    <cfRule type="cellIs" dxfId="541" priority="41" stopIfTrue="1" operator="lessThan">
      <formula>0</formula>
    </cfRule>
  </conditionalFormatting>
  <conditionalFormatting sqref="AN53:AP53">
    <cfRule type="cellIs" dxfId="540" priority="40" stopIfTrue="1" operator="lessThan">
      <formula>0</formula>
    </cfRule>
  </conditionalFormatting>
  <conditionalFormatting sqref="AS37:AS42">
    <cfRule type="cellIs" dxfId="539" priority="39" stopIfTrue="1" operator="lessThan">
      <formula>0</formula>
    </cfRule>
  </conditionalFormatting>
  <conditionalFormatting sqref="AS44:AS47">
    <cfRule type="cellIs" dxfId="538" priority="38" stopIfTrue="1" operator="lessThan">
      <formula>0</formula>
    </cfRule>
  </conditionalFormatting>
  <conditionalFormatting sqref="AT37:AT42">
    <cfRule type="cellIs" dxfId="537" priority="35" stopIfTrue="1" operator="lessThan">
      <formula>0</formula>
    </cfRule>
  </conditionalFormatting>
  <conditionalFormatting sqref="AT44:AT47">
    <cfRule type="cellIs" dxfId="536" priority="34" stopIfTrue="1" operator="lessThan">
      <formula>0</formula>
    </cfRule>
  </conditionalFormatting>
  <conditionalFormatting sqref="AT49:AT52">
    <cfRule type="cellIs" dxfId="535" priority="33" stopIfTrue="1" operator="lessThan">
      <formula>0</formula>
    </cfRule>
  </conditionalFormatting>
  <conditionalFormatting sqref="AT53">
    <cfRule type="cellIs" dxfId="534" priority="32" stopIfTrue="1" operator="lessThan">
      <formula>0</formula>
    </cfRule>
  </conditionalFormatting>
  <conditionalFormatting sqref="AU37:AU42">
    <cfRule type="cellIs" dxfId="533" priority="31" stopIfTrue="1" operator="lessThan">
      <formula>0</formula>
    </cfRule>
  </conditionalFormatting>
  <conditionalFormatting sqref="AU44:AU47">
    <cfRule type="cellIs" dxfId="532" priority="30" stopIfTrue="1" operator="lessThan">
      <formula>0</formula>
    </cfRule>
  </conditionalFormatting>
  <conditionalFormatting sqref="AU49:AU52">
    <cfRule type="cellIs" dxfId="531" priority="29" stopIfTrue="1" operator="lessThan">
      <formula>0</formula>
    </cfRule>
  </conditionalFormatting>
  <conditionalFormatting sqref="AU53">
    <cfRule type="cellIs" dxfId="530" priority="28" stopIfTrue="1" operator="lessThan">
      <formula>0</formula>
    </cfRule>
  </conditionalFormatting>
  <conditionalFormatting sqref="AV37:AV42">
    <cfRule type="cellIs" dxfId="529" priority="27" stopIfTrue="1" operator="lessThan">
      <formula>0</formula>
    </cfRule>
  </conditionalFormatting>
  <conditionalFormatting sqref="AV44:AV47">
    <cfRule type="cellIs" dxfId="528" priority="26" stopIfTrue="1" operator="lessThan">
      <formula>0</formula>
    </cfRule>
  </conditionalFormatting>
  <conditionalFormatting sqref="AV49:AV52">
    <cfRule type="cellIs" dxfId="527" priority="25" stopIfTrue="1" operator="lessThan">
      <formula>0</formula>
    </cfRule>
  </conditionalFormatting>
  <conditionalFormatting sqref="AV53">
    <cfRule type="cellIs" dxfId="526" priority="24" stopIfTrue="1" operator="lessThan">
      <formula>0</formula>
    </cfRule>
  </conditionalFormatting>
  <conditionalFormatting sqref="AS35:AV35">
    <cfRule type="cellIs" dxfId="525" priority="23" stopIfTrue="1" operator="lessThan">
      <formula>0</formula>
    </cfRule>
  </conditionalFormatting>
  <conditionalFormatting sqref="AV34">
    <cfRule type="cellIs" dxfId="524" priority="22" stopIfTrue="1" operator="lessThan">
      <formula>0</formula>
    </cfRule>
  </conditionalFormatting>
  <conditionalFormatting sqref="AT34">
    <cfRule type="cellIs" dxfId="523" priority="21" stopIfTrue="1" operator="lessThan">
      <formula>0</formula>
    </cfRule>
  </conditionalFormatting>
  <conditionalFormatting sqref="AW61:AW62">
    <cfRule type="cellIs" dxfId="522" priority="20" stopIfTrue="1" operator="lessThan">
      <formula>0</formula>
    </cfRule>
  </conditionalFormatting>
  <conditionalFormatting sqref="M56:O57 J56:J57">
    <cfRule type="cellIs" dxfId="521" priority="19" stopIfTrue="1" operator="lessThan">
      <formula>0</formula>
    </cfRule>
  </conditionalFormatting>
  <conditionalFormatting sqref="M58:O59 J58:J59">
    <cfRule type="cellIs" dxfId="520" priority="17" stopIfTrue="1" operator="lessThan">
      <formula>0</formula>
    </cfRule>
  </conditionalFormatting>
  <conditionalFormatting sqref="S56:U57 P56:P57">
    <cfRule type="cellIs" dxfId="519" priority="15" stopIfTrue="1" operator="lessThan">
      <formula>0</formula>
    </cfRule>
  </conditionalFormatting>
  <conditionalFormatting sqref="V56:W57">
    <cfRule type="cellIs" dxfId="518" priority="14" stopIfTrue="1" operator="lessThan">
      <formula>0</formula>
    </cfRule>
  </conditionalFormatting>
  <conditionalFormatting sqref="S59:U59 P59">
    <cfRule type="cellIs" dxfId="517" priority="13" stopIfTrue="1" operator="lessThan">
      <formula>0</formula>
    </cfRule>
  </conditionalFormatting>
  <conditionalFormatting sqref="V59:W59">
    <cfRule type="cellIs" dxfId="516" priority="12" stopIfTrue="1" operator="lessThan">
      <formula>0</formula>
    </cfRule>
  </conditionalFormatting>
  <conditionalFormatting sqref="S58:T58 P58">
    <cfRule type="cellIs" dxfId="515" priority="11" stopIfTrue="1" operator="lessThan">
      <formula>0</formula>
    </cfRule>
  </conditionalFormatting>
  <conditionalFormatting sqref="X56:X57">
    <cfRule type="cellIs" dxfId="514" priority="10" stopIfTrue="1" operator="lessThan">
      <formula>0</formula>
    </cfRule>
  </conditionalFormatting>
  <conditionalFormatting sqref="X59">
    <cfRule type="cellIs" dxfId="513" priority="9" stopIfTrue="1" operator="lessThan">
      <formula>0</formula>
    </cfRule>
  </conditionalFormatting>
  <conditionalFormatting sqref="X58">
    <cfRule type="cellIs" dxfId="512" priority="8" stopIfTrue="1" operator="lessThan">
      <formula>0</formula>
    </cfRule>
  </conditionalFormatting>
  <conditionalFormatting sqref="AA56:AA57">
    <cfRule type="cellIs" dxfId="511" priority="7" stopIfTrue="1" operator="lessThan">
      <formula>0</formula>
    </cfRule>
  </conditionalFormatting>
  <conditionalFormatting sqref="AA59">
    <cfRule type="cellIs" dxfId="510" priority="6" stopIfTrue="1" operator="lessThan">
      <formula>0</formula>
    </cfRule>
  </conditionalFormatting>
  <conditionalFormatting sqref="AA58">
    <cfRule type="cellIs" dxfId="509" priority="5" stopIfTrue="1" operator="lessThan">
      <formula>0</formula>
    </cfRule>
  </conditionalFormatting>
  <conditionalFormatting sqref="Q13:R15 P13:P21">
    <cfRule type="cellIs" dxfId="508" priority="81" stopIfTrue="1" operator="lessThan">
      <formula>0</formula>
    </cfRule>
  </conditionalFormatting>
  <conditionalFormatting sqref="AQ7:AR7 AO13:AP15 AN6:AN10 AN13:AN21">
    <cfRule type="cellIs" dxfId="507" priority="3" stopIfTrue="1" operator="lessThan">
      <formula>0</formula>
    </cfRule>
  </conditionalFormatting>
  <conditionalFormatting sqref="AU34">
    <cfRule type="cellIs" dxfId="506" priority="2" stopIfTrue="1" operator="lessThan">
      <formula>0</formula>
    </cfRule>
  </conditionalFormatting>
  <conditionalFormatting sqref="D9">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8" sqref="B3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4">
        <v>115744842</v>
      </c>
      <c r="E5" s="124">
        <v>115744842</v>
      </c>
      <c r="F5" s="7"/>
      <c r="G5" s="6"/>
      <c r="H5" s="6"/>
      <c r="I5" s="5">
        <v>85847195.290000007</v>
      </c>
      <c r="J5" s="124">
        <v>108180905</v>
      </c>
      <c r="K5" s="124">
        <v>108180905</v>
      </c>
      <c r="L5" s="125"/>
      <c r="M5" s="125"/>
      <c r="N5" s="125"/>
      <c r="O5" s="124"/>
      <c r="P5" s="124">
        <v>743127657</v>
      </c>
      <c r="Q5" s="124">
        <v>743127657</v>
      </c>
      <c r="R5" s="125"/>
      <c r="S5" s="125"/>
      <c r="T5" s="125"/>
      <c r="U5" s="124"/>
      <c r="V5" s="125"/>
      <c r="W5" s="125"/>
      <c r="X5" s="124"/>
      <c r="Y5" s="125"/>
      <c r="Z5" s="125"/>
      <c r="AA5" s="124"/>
      <c r="AB5" s="125"/>
      <c r="AC5" s="125"/>
      <c r="AD5" s="124"/>
      <c r="AE5" s="301"/>
      <c r="AF5" s="301"/>
      <c r="AG5" s="301"/>
      <c r="AH5" s="301"/>
      <c r="AI5" s="124"/>
      <c r="AJ5" s="301"/>
      <c r="AK5" s="301"/>
      <c r="AL5" s="301"/>
      <c r="AM5" s="301"/>
      <c r="AN5" s="124"/>
      <c r="AO5" s="125"/>
      <c r="AP5" s="125"/>
      <c r="AQ5" s="125"/>
      <c r="AR5" s="125"/>
      <c r="AS5" s="391">
        <v>159589873</v>
      </c>
      <c r="AT5" s="392">
        <v>33907880</v>
      </c>
      <c r="AU5" s="126"/>
      <c r="AV5" s="318"/>
      <c r="AW5" s="323"/>
    </row>
    <row r="6" spans="2:49" x14ac:dyDescent="0.2">
      <c r="B6" s="182" t="s">
        <v>279</v>
      </c>
      <c r="C6" s="139" t="s">
        <v>8</v>
      </c>
      <c r="D6" s="116">
        <v>1732969</v>
      </c>
      <c r="E6" s="116">
        <v>1732969</v>
      </c>
      <c r="F6" s="4"/>
      <c r="G6" s="3"/>
      <c r="H6" s="3"/>
      <c r="I6" s="2"/>
      <c r="J6" s="116">
        <v>1652863</v>
      </c>
      <c r="K6" s="116">
        <v>1652863</v>
      </c>
      <c r="L6" s="117"/>
      <c r="M6" s="117"/>
      <c r="N6" s="117"/>
      <c r="O6" s="116"/>
      <c r="P6" s="116">
        <v>11339153</v>
      </c>
      <c r="Q6" s="116">
        <v>11339153</v>
      </c>
      <c r="R6" s="117"/>
      <c r="S6" s="117"/>
      <c r="T6" s="117"/>
      <c r="U6" s="116"/>
      <c r="V6" s="117"/>
      <c r="W6" s="117"/>
      <c r="X6" s="116"/>
      <c r="Y6" s="117"/>
      <c r="Z6" s="117"/>
      <c r="AA6" s="116"/>
      <c r="AB6" s="117"/>
      <c r="AC6" s="117"/>
      <c r="AD6" s="116"/>
      <c r="AE6" s="294"/>
      <c r="AF6" s="294"/>
      <c r="AG6" s="294"/>
      <c r="AH6" s="294"/>
      <c r="AI6" s="116"/>
      <c r="AJ6" s="294"/>
      <c r="AK6" s="294"/>
      <c r="AL6" s="294"/>
      <c r="AM6" s="294"/>
      <c r="AN6" s="116"/>
      <c r="AO6" s="117"/>
      <c r="AP6" s="117"/>
      <c r="AQ6" s="117"/>
      <c r="AR6" s="117"/>
      <c r="AS6" s="1">
        <v>2436800</v>
      </c>
      <c r="AT6" s="393">
        <v>518680</v>
      </c>
      <c r="AU6" s="120"/>
      <c r="AV6" s="317"/>
      <c r="AW6" s="324"/>
    </row>
    <row r="7" spans="2:49" x14ac:dyDescent="0.2">
      <c r="B7" s="182" t="s">
        <v>280</v>
      </c>
      <c r="C7" s="139" t="s">
        <v>9</v>
      </c>
      <c r="D7" s="116">
        <v>1580531</v>
      </c>
      <c r="E7" s="116">
        <v>1580531</v>
      </c>
      <c r="F7" s="4"/>
      <c r="G7" s="3"/>
      <c r="H7" s="3"/>
      <c r="I7" s="2"/>
      <c r="J7" s="116">
        <v>3613794</v>
      </c>
      <c r="K7" s="116">
        <v>3613794</v>
      </c>
      <c r="L7" s="117"/>
      <c r="M7" s="117"/>
      <c r="N7" s="117"/>
      <c r="O7" s="116"/>
      <c r="P7" s="116">
        <v>25366763</v>
      </c>
      <c r="Q7" s="116">
        <v>25366763</v>
      </c>
      <c r="R7" s="117"/>
      <c r="S7" s="117"/>
      <c r="T7" s="117"/>
      <c r="U7" s="116"/>
      <c r="V7" s="117"/>
      <c r="W7" s="117"/>
      <c r="X7" s="116"/>
      <c r="Y7" s="117"/>
      <c r="Z7" s="117"/>
      <c r="AA7" s="116"/>
      <c r="AB7" s="117"/>
      <c r="AC7" s="117"/>
      <c r="AD7" s="116"/>
      <c r="AE7" s="294"/>
      <c r="AF7" s="294"/>
      <c r="AG7" s="294"/>
      <c r="AH7" s="294"/>
      <c r="AI7" s="116"/>
      <c r="AJ7" s="294"/>
      <c r="AK7" s="294"/>
      <c r="AL7" s="294"/>
      <c r="AM7" s="294"/>
      <c r="AN7" s="116"/>
      <c r="AO7" s="117"/>
      <c r="AP7" s="117"/>
      <c r="AQ7" s="117"/>
      <c r="AR7" s="117"/>
      <c r="AS7" s="1">
        <v>5426693</v>
      </c>
      <c r="AT7" s="393">
        <v>1093798</v>
      </c>
      <c r="AU7" s="120"/>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6"/>
      <c r="E9" s="294"/>
      <c r="F9" s="294"/>
      <c r="G9" s="294"/>
      <c r="H9" s="294"/>
      <c r="I9" s="298"/>
      <c r="J9" s="116"/>
      <c r="K9" s="294"/>
      <c r="L9" s="294"/>
      <c r="M9" s="294"/>
      <c r="N9" s="294"/>
      <c r="O9" s="298"/>
      <c r="P9" s="116"/>
      <c r="Q9" s="294"/>
      <c r="R9" s="294"/>
      <c r="S9" s="294"/>
      <c r="T9" s="294"/>
      <c r="U9" s="116"/>
      <c r="V9" s="294"/>
      <c r="W9" s="294"/>
      <c r="X9" s="116"/>
      <c r="Y9" s="294"/>
      <c r="Z9" s="294"/>
      <c r="AA9" s="116"/>
      <c r="AB9" s="294"/>
      <c r="AC9" s="294"/>
      <c r="AD9" s="116"/>
      <c r="AE9" s="294"/>
      <c r="AF9" s="294"/>
      <c r="AG9" s="294"/>
      <c r="AH9" s="294"/>
      <c r="AI9" s="116"/>
      <c r="AJ9" s="294"/>
      <c r="AK9" s="294"/>
      <c r="AL9" s="294"/>
      <c r="AM9" s="294"/>
      <c r="AN9" s="116"/>
      <c r="AO9" s="294"/>
      <c r="AP9" s="294"/>
      <c r="AQ9" s="294"/>
      <c r="AR9" s="294"/>
      <c r="AS9" s="116"/>
      <c r="AT9" s="120"/>
      <c r="AU9" s="120"/>
      <c r="AV9" s="317"/>
      <c r="AW9" s="324"/>
    </row>
    <row r="10" spans="2:49" ht="25.5" x14ac:dyDescent="0.2">
      <c r="B10" s="184" t="s">
        <v>83</v>
      </c>
      <c r="C10" s="139"/>
      <c r="D10" s="299"/>
      <c r="E10" s="117"/>
      <c r="F10" s="117"/>
      <c r="G10" s="117"/>
      <c r="H10" s="117"/>
      <c r="I10" s="116"/>
      <c r="J10" s="299"/>
      <c r="K10" s="117"/>
      <c r="L10" s="117"/>
      <c r="M10" s="117"/>
      <c r="N10" s="117"/>
      <c r="O10" s="116"/>
      <c r="P10" s="299"/>
      <c r="Q10" s="117"/>
      <c r="R10" s="117"/>
      <c r="S10" s="117"/>
      <c r="T10" s="117"/>
      <c r="U10" s="299"/>
      <c r="V10" s="117"/>
      <c r="W10" s="117"/>
      <c r="X10" s="299"/>
      <c r="Y10" s="117"/>
      <c r="Z10" s="117"/>
      <c r="AA10" s="299"/>
      <c r="AB10" s="117"/>
      <c r="AC10" s="117"/>
      <c r="AD10" s="299"/>
      <c r="AE10" s="294"/>
      <c r="AF10" s="294"/>
      <c r="AG10" s="294"/>
      <c r="AH10" s="294"/>
      <c r="AI10" s="299"/>
      <c r="AJ10" s="294"/>
      <c r="AK10" s="294"/>
      <c r="AL10" s="294"/>
      <c r="AM10" s="294"/>
      <c r="AN10" s="299"/>
      <c r="AO10" s="117"/>
      <c r="AP10" s="117"/>
      <c r="AQ10" s="117"/>
      <c r="AR10" s="117"/>
      <c r="AS10" s="299"/>
      <c r="AT10" s="320"/>
      <c r="AU10" s="320"/>
      <c r="AV10" s="317"/>
      <c r="AW10" s="324"/>
    </row>
    <row r="11" spans="2:49" x14ac:dyDescent="0.2">
      <c r="B11" s="182" t="s">
        <v>282</v>
      </c>
      <c r="C11" s="139"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4"/>
      <c r="AF11" s="294"/>
      <c r="AG11" s="294"/>
      <c r="AH11" s="294"/>
      <c r="AI11" s="116"/>
      <c r="AJ11" s="294"/>
      <c r="AK11" s="294"/>
      <c r="AL11" s="294"/>
      <c r="AM11" s="294"/>
      <c r="AN11" s="116"/>
      <c r="AO11" s="117"/>
      <c r="AP11" s="117"/>
      <c r="AQ11" s="117"/>
      <c r="AR11" s="117"/>
      <c r="AS11" s="116"/>
      <c r="AT11" s="120"/>
      <c r="AU11" s="120"/>
      <c r="AV11" s="317"/>
      <c r="AW11" s="324"/>
    </row>
    <row r="12" spans="2:49" x14ac:dyDescent="0.2">
      <c r="B12" s="182" t="s">
        <v>283</v>
      </c>
      <c r="C12" s="139" t="s">
        <v>44</v>
      </c>
      <c r="D12" s="116"/>
      <c r="E12" s="295"/>
      <c r="F12" s="295"/>
      <c r="G12" s="295"/>
      <c r="H12" s="295"/>
      <c r="I12" s="299"/>
      <c r="J12" s="116"/>
      <c r="K12" s="295"/>
      <c r="L12" s="295"/>
      <c r="M12" s="295"/>
      <c r="N12" s="295"/>
      <c r="O12" s="299"/>
      <c r="P12" s="116"/>
      <c r="Q12" s="295"/>
      <c r="R12" s="295"/>
      <c r="S12" s="295"/>
      <c r="T12" s="295"/>
      <c r="U12" s="116"/>
      <c r="V12" s="295"/>
      <c r="W12" s="295"/>
      <c r="X12" s="116"/>
      <c r="Y12" s="295"/>
      <c r="Z12" s="295"/>
      <c r="AA12" s="116"/>
      <c r="AB12" s="295"/>
      <c r="AC12" s="295"/>
      <c r="AD12" s="116"/>
      <c r="AE12" s="294"/>
      <c r="AF12" s="294"/>
      <c r="AG12" s="294"/>
      <c r="AH12" s="294"/>
      <c r="AI12" s="116"/>
      <c r="AJ12" s="294"/>
      <c r="AK12" s="294"/>
      <c r="AL12" s="294"/>
      <c r="AM12" s="294"/>
      <c r="AN12" s="116"/>
      <c r="AO12" s="295"/>
      <c r="AP12" s="295"/>
      <c r="AQ12" s="295"/>
      <c r="AR12" s="295"/>
      <c r="AS12" s="1">
        <v>1252</v>
      </c>
      <c r="AT12" s="120"/>
      <c r="AU12" s="120"/>
      <c r="AV12" s="317"/>
      <c r="AW12" s="324"/>
    </row>
    <row r="13" spans="2:49" x14ac:dyDescent="0.2">
      <c r="B13" s="182" t="s">
        <v>284</v>
      </c>
      <c r="C13" s="139" t="s">
        <v>10</v>
      </c>
      <c r="D13" s="116">
        <v>3572</v>
      </c>
      <c r="E13" s="116">
        <v>3572</v>
      </c>
      <c r="F13" s="4"/>
      <c r="G13" s="4"/>
      <c r="H13" s="4"/>
      <c r="I13" s="1">
        <v>0</v>
      </c>
      <c r="J13" s="116">
        <v>-1522</v>
      </c>
      <c r="K13" s="117">
        <v>-1522</v>
      </c>
      <c r="L13" s="117"/>
      <c r="M13" s="117"/>
      <c r="N13" s="117"/>
      <c r="O13" s="116"/>
      <c r="P13" s="116"/>
      <c r="Q13" s="117"/>
      <c r="R13" s="117"/>
      <c r="S13" s="117"/>
      <c r="T13" s="117"/>
      <c r="U13" s="116"/>
      <c r="V13" s="117"/>
      <c r="W13" s="117"/>
      <c r="X13" s="116"/>
      <c r="Y13" s="117"/>
      <c r="Z13" s="117"/>
      <c r="AA13" s="116"/>
      <c r="AB13" s="117"/>
      <c r="AC13" s="117"/>
      <c r="AD13" s="116"/>
      <c r="AE13" s="294"/>
      <c r="AF13" s="294"/>
      <c r="AG13" s="294"/>
      <c r="AH13" s="294"/>
      <c r="AI13" s="116"/>
      <c r="AJ13" s="294"/>
      <c r="AK13" s="294"/>
      <c r="AL13" s="294"/>
      <c r="AM13" s="294"/>
      <c r="AN13" s="116"/>
      <c r="AO13" s="117"/>
      <c r="AP13" s="117"/>
      <c r="AQ13" s="117"/>
      <c r="AR13" s="117"/>
      <c r="AS13" s="116"/>
      <c r="AT13" s="120"/>
      <c r="AU13" s="120"/>
      <c r="AV13" s="317"/>
      <c r="AW13" s="324"/>
    </row>
    <row r="14" spans="2:49" x14ac:dyDescent="0.2">
      <c r="B14" s="182" t="s">
        <v>285</v>
      </c>
      <c r="C14" s="139"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4"/>
      <c r="AF14" s="294"/>
      <c r="AG14" s="294"/>
      <c r="AH14" s="294"/>
      <c r="AI14" s="116"/>
      <c r="AJ14" s="294"/>
      <c r="AK14" s="294"/>
      <c r="AL14" s="294"/>
      <c r="AM14" s="294"/>
      <c r="AN14" s="116"/>
      <c r="AO14" s="117"/>
      <c r="AP14" s="117"/>
      <c r="AQ14" s="117"/>
      <c r="AR14" s="117"/>
      <c r="AS14" s="116"/>
      <c r="AT14" s="120"/>
      <c r="AU14" s="120"/>
      <c r="AV14" s="317"/>
      <c r="AW14" s="324"/>
    </row>
    <row r="15" spans="2:49" ht="25.5" x14ac:dyDescent="0.2">
      <c r="B15" s="184" t="s">
        <v>286</v>
      </c>
      <c r="C15" s="139"/>
      <c r="D15" s="116"/>
      <c r="E15" s="117"/>
      <c r="F15" s="117"/>
      <c r="G15" s="117"/>
      <c r="H15" s="117"/>
      <c r="I15" s="116">
        <v>21307604</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6"/>
      <c r="E16" s="117"/>
      <c r="F16" s="117"/>
      <c r="G16" s="117"/>
      <c r="H16" s="117"/>
      <c r="I16" s="116">
        <v>-5466067.1299999999</v>
      </c>
      <c r="J16" s="116"/>
      <c r="K16" s="117"/>
      <c r="L16" s="117"/>
      <c r="M16" s="117"/>
      <c r="N16" s="117"/>
      <c r="O16" s="116"/>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6"/>
      <c r="E17" s="275">
        <v>12515152.85204383</v>
      </c>
      <c r="F17" s="275"/>
      <c r="G17" s="275"/>
      <c r="H17" s="117"/>
      <c r="I17" s="299"/>
      <c r="J17" s="116"/>
      <c r="K17" s="275"/>
      <c r="L17" s="117"/>
      <c r="M17" s="117"/>
      <c r="N17" s="117"/>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4"/>
      <c r="AF18" s="294"/>
      <c r="AG18" s="294"/>
      <c r="AH18" s="294"/>
      <c r="AI18" s="116"/>
      <c r="AJ18" s="294"/>
      <c r="AK18" s="294"/>
      <c r="AL18" s="294"/>
      <c r="AM18" s="294"/>
      <c r="AN18" s="116"/>
      <c r="AO18" s="117"/>
      <c r="AP18" s="117"/>
      <c r="AQ18" s="117"/>
      <c r="AR18" s="117"/>
      <c r="AS18" s="116"/>
      <c r="AT18" s="120"/>
      <c r="AU18" s="120"/>
      <c r="AV18" s="317"/>
      <c r="AW18" s="324"/>
    </row>
    <row r="19" spans="2:49" ht="25.5" x14ac:dyDescent="0.2">
      <c r="B19" s="184" t="s">
        <v>308</v>
      </c>
      <c r="C19" s="139"/>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4"/>
      <c r="AF19" s="294"/>
      <c r="AG19" s="294"/>
      <c r="AH19" s="294"/>
      <c r="AI19" s="116"/>
      <c r="AJ19" s="294"/>
      <c r="AK19" s="294"/>
      <c r="AL19" s="294"/>
      <c r="AM19" s="294"/>
      <c r="AN19" s="116"/>
      <c r="AO19" s="117"/>
      <c r="AP19" s="117"/>
      <c r="AQ19" s="117"/>
      <c r="AR19" s="117"/>
      <c r="AS19" s="116"/>
      <c r="AT19" s="120"/>
      <c r="AU19" s="120"/>
      <c r="AV19" s="317"/>
      <c r="AW19" s="324"/>
    </row>
    <row r="20" spans="2:49" s="12" customFormat="1" ht="25.5" x14ac:dyDescent="0.2">
      <c r="B20" s="184" t="s">
        <v>485</v>
      </c>
      <c r="C20" s="139"/>
      <c r="D20" s="116"/>
      <c r="E20" s="117"/>
      <c r="F20" s="117"/>
      <c r="G20" s="117"/>
      <c r="H20" s="117"/>
      <c r="I20" s="116"/>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69"/>
    </row>
    <row r="22" spans="2:49" x14ac:dyDescent="0.2">
      <c r="B22" s="186" t="s">
        <v>288</v>
      </c>
      <c r="C22" s="138"/>
      <c r="D22" s="79"/>
      <c r="E22" s="80"/>
      <c r="F22" s="80"/>
      <c r="G22" s="80"/>
      <c r="H22" s="80"/>
      <c r="I22" s="331"/>
      <c r="J22" s="331"/>
      <c r="K22" s="303"/>
      <c r="L22" s="303"/>
      <c r="M22" s="303"/>
      <c r="N22" s="303"/>
      <c r="O22" s="79"/>
      <c r="P22" s="79"/>
      <c r="Q22" s="80"/>
      <c r="R22" s="80"/>
      <c r="S22" s="80"/>
      <c r="T22" s="80"/>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6">
        <v>119300414</v>
      </c>
      <c r="E23" s="294"/>
      <c r="F23" s="294"/>
      <c r="G23" s="294"/>
      <c r="H23" s="294"/>
      <c r="I23" s="298"/>
      <c r="J23" s="116">
        <v>89106945</v>
      </c>
      <c r="K23" s="294"/>
      <c r="L23" s="294"/>
      <c r="M23" s="294"/>
      <c r="N23" s="294"/>
      <c r="O23" s="298"/>
      <c r="P23" s="116">
        <v>635344033</v>
      </c>
      <c r="Q23" s="294"/>
      <c r="R23" s="294"/>
      <c r="S23" s="294"/>
      <c r="T23" s="294"/>
      <c r="U23" s="116"/>
      <c r="V23" s="294"/>
      <c r="W23" s="294"/>
      <c r="X23" s="116"/>
      <c r="Y23" s="294"/>
      <c r="Z23" s="294"/>
      <c r="AA23" s="116"/>
      <c r="AB23" s="294"/>
      <c r="AC23" s="294"/>
      <c r="AD23" s="116"/>
      <c r="AE23" s="294"/>
      <c r="AF23" s="294"/>
      <c r="AG23" s="294"/>
      <c r="AH23" s="294"/>
      <c r="AI23" s="116"/>
      <c r="AJ23" s="294"/>
      <c r="AK23" s="294"/>
      <c r="AL23" s="294"/>
      <c r="AM23" s="294"/>
      <c r="AN23" s="116"/>
      <c r="AO23" s="294"/>
      <c r="AP23" s="294"/>
      <c r="AQ23" s="294"/>
      <c r="AR23" s="294"/>
      <c r="AS23" s="1">
        <v>137472208</v>
      </c>
      <c r="AT23" s="393">
        <v>29188245</v>
      </c>
      <c r="AU23" s="120"/>
      <c r="AV23" s="317"/>
      <c r="AW23" s="324"/>
    </row>
    <row r="24" spans="2:49" ht="28.5" customHeight="1" x14ac:dyDescent="0.2">
      <c r="B24" s="184" t="s">
        <v>114</v>
      </c>
      <c r="C24" s="139"/>
      <c r="D24" s="299"/>
      <c r="E24" s="116">
        <v>119300414</v>
      </c>
      <c r="F24" s="117"/>
      <c r="G24" s="117"/>
      <c r="H24" s="117"/>
      <c r="I24" s="387">
        <v>110370750.31237812</v>
      </c>
      <c r="J24" s="299"/>
      <c r="K24" s="117">
        <v>89106945</v>
      </c>
      <c r="L24" s="117"/>
      <c r="M24" s="117"/>
      <c r="N24" s="117"/>
      <c r="O24" s="116"/>
      <c r="P24" s="299"/>
      <c r="Q24" s="116">
        <v>635344033</v>
      </c>
      <c r="R24" s="117"/>
      <c r="S24" s="117"/>
      <c r="T24" s="117"/>
      <c r="U24" s="299"/>
      <c r="V24" s="117"/>
      <c r="W24" s="117"/>
      <c r="X24" s="299"/>
      <c r="Y24" s="117"/>
      <c r="Z24" s="117"/>
      <c r="AA24" s="299"/>
      <c r="AB24" s="117"/>
      <c r="AC24" s="117"/>
      <c r="AD24" s="299"/>
      <c r="AE24" s="294"/>
      <c r="AF24" s="294"/>
      <c r="AG24" s="294"/>
      <c r="AH24" s="294"/>
      <c r="AI24" s="299"/>
      <c r="AJ24" s="294"/>
      <c r="AK24" s="294"/>
      <c r="AL24" s="294"/>
      <c r="AM24" s="294"/>
      <c r="AN24" s="299"/>
      <c r="AO24" s="117"/>
      <c r="AP24" s="117"/>
      <c r="AQ24" s="117"/>
      <c r="AR24" s="117"/>
      <c r="AS24" s="299"/>
      <c r="AT24" s="320"/>
      <c r="AU24" s="320"/>
      <c r="AV24" s="317"/>
      <c r="AW24" s="324"/>
    </row>
    <row r="25" spans="2:49" s="12"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2" customFormat="1" ht="25.5" x14ac:dyDescent="0.2">
      <c r="B26" s="184" t="s">
        <v>110</v>
      </c>
      <c r="C26" s="139" t="s">
        <v>0</v>
      </c>
      <c r="D26" s="116">
        <v>868169</v>
      </c>
      <c r="E26" s="294"/>
      <c r="F26" s="294"/>
      <c r="G26" s="294"/>
      <c r="H26" s="294"/>
      <c r="I26" s="298"/>
      <c r="J26" s="116">
        <v>565150</v>
      </c>
      <c r="K26" s="294"/>
      <c r="L26" s="294"/>
      <c r="M26" s="294"/>
      <c r="N26" s="294"/>
      <c r="O26" s="298"/>
      <c r="P26" s="116">
        <v>3639100</v>
      </c>
      <c r="Q26" s="294"/>
      <c r="R26" s="294"/>
      <c r="S26" s="294"/>
      <c r="T26" s="294"/>
      <c r="U26" s="116"/>
      <c r="V26" s="294"/>
      <c r="W26" s="294"/>
      <c r="X26" s="116"/>
      <c r="Y26" s="294"/>
      <c r="Z26" s="294"/>
      <c r="AA26" s="116"/>
      <c r="AB26" s="294"/>
      <c r="AC26" s="294"/>
      <c r="AD26" s="116"/>
      <c r="AE26" s="294"/>
      <c r="AF26" s="294"/>
      <c r="AG26" s="294"/>
      <c r="AH26" s="294"/>
      <c r="AI26" s="116"/>
      <c r="AJ26" s="294"/>
      <c r="AK26" s="294"/>
      <c r="AL26" s="294"/>
      <c r="AM26" s="294"/>
      <c r="AN26" s="116"/>
      <c r="AO26" s="294"/>
      <c r="AP26" s="294"/>
      <c r="AQ26" s="294"/>
      <c r="AR26" s="294"/>
      <c r="AS26" s="1">
        <v>-388935</v>
      </c>
      <c r="AT26" s="393">
        <v>-98980</v>
      </c>
      <c r="AU26" s="120"/>
      <c r="AV26" s="317"/>
      <c r="AW26" s="324"/>
    </row>
    <row r="27" spans="2:49" s="12" customFormat="1" ht="25.5" x14ac:dyDescent="0.2">
      <c r="B27" s="184" t="s">
        <v>85</v>
      </c>
      <c r="C27" s="139"/>
      <c r="D27" s="299"/>
      <c r="E27" s="116">
        <v>868169</v>
      </c>
      <c r="F27" s="117"/>
      <c r="G27" s="117"/>
      <c r="H27" s="117"/>
      <c r="I27" s="1">
        <v>1161913</v>
      </c>
      <c r="J27" s="299"/>
      <c r="K27" s="117">
        <v>565150</v>
      </c>
      <c r="L27" s="117"/>
      <c r="M27" s="117"/>
      <c r="N27" s="117"/>
      <c r="O27" s="116"/>
      <c r="P27" s="299"/>
      <c r="Q27" s="116">
        <v>3639100</v>
      </c>
      <c r="R27" s="117"/>
      <c r="S27" s="117"/>
      <c r="T27" s="117"/>
      <c r="U27" s="299"/>
      <c r="V27" s="117"/>
      <c r="W27" s="117"/>
      <c r="X27" s="299"/>
      <c r="Y27" s="117"/>
      <c r="Z27" s="117"/>
      <c r="AA27" s="299"/>
      <c r="AB27" s="117"/>
      <c r="AC27" s="117"/>
      <c r="AD27" s="299"/>
      <c r="AE27" s="294"/>
      <c r="AF27" s="294"/>
      <c r="AG27" s="294"/>
      <c r="AH27" s="294"/>
      <c r="AI27" s="299"/>
      <c r="AJ27" s="294"/>
      <c r="AK27" s="294"/>
      <c r="AL27" s="294"/>
      <c r="AM27" s="294"/>
      <c r="AN27" s="299"/>
      <c r="AO27" s="117"/>
      <c r="AP27" s="117"/>
      <c r="AQ27" s="117"/>
      <c r="AR27" s="117"/>
      <c r="AS27" s="299"/>
      <c r="AT27" s="320"/>
      <c r="AU27" s="320"/>
      <c r="AV27" s="317"/>
      <c r="AW27" s="324"/>
    </row>
    <row r="28" spans="2:49" x14ac:dyDescent="0.2">
      <c r="B28" s="182" t="s">
        <v>290</v>
      </c>
      <c r="C28" s="139" t="s">
        <v>47</v>
      </c>
      <c r="D28" s="116">
        <v>323943</v>
      </c>
      <c r="E28" s="295"/>
      <c r="F28" s="295"/>
      <c r="G28" s="295"/>
      <c r="H28" s="295"/>
      <c r="I28" s="299"/>
      <c r="J28" s="116">
        <v>770520</v>
      </c>
      <c r="K28" s="295"/>
      <c r="L28" s="295"/>
      <c r="M28" s="295"/>
      <c r="N28" s="295"/>
      <c r="O28" s="299"/>
      <c r="P28" s="116">
        <v>4593751</v>
      </c>
      <c r="Q28" s="295"/>
      <c r="R28" s="295"/>
      <c r="S28" s="295"/>
      <c r="T28" s="295"/>
      <c r="U28" s="116"/>
      <c r="V28" s="295"/>
      <c r="W28" s="295"/>
      <c r="X28" s="116"/>
      <c r="Y28" s="295"/>
      <c r="Z28" s="295"/>
      <c r="AA28" s="116"/>
      <c r="AB28" s="295"/>
      <c r="AC28" s="295"/>
      <c r="AD28" s="116"/>
      <c r="AE28" s="294"/>
      <c r="AF28" s="294"/>
      <c r="AG28" s="294"/>
      <c r="AH28" s="294"/>
      <c r="AI28" s="116"/>
      <c r="AJ28" s="294"/>
      <c r="AK28" s="294"/>
      <c r="AL28" s="294"/>
      <c r="AM28" s="294"/>
      <c r="AN28" s="116"/>
      <c r="AO28" s="295"/>
      <c r="AP28" s="295"/>
      <c r="AQ28" s="295"/>
      <c r="AR28" s="295"/>
      <c r="AS28" s="1">
        <v>596276</v>
      </c>
      <c r="AT28" s="393">
        <v>92417</v>
      </c>
      <c r="AU28" s="120"/>
      <c r="AV28" s="317"/>
      <c r="AW28" s="324"/>
    </row>
    <row r="29" spans="2:49" s="12"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2" customFormat="1" ht="25.5" x14ac:dyDescent="0.2">
      <c r="B30" s="184" t="s">
        <v>111</v>
      </c>
      <c r="C30" s="139" t="s">
        <v>1</v>
      </c>
      <c r="D30" s="116"/>
      <c r="E30" s="294"/>
      <c r="F30" s="294"/>
      <c r="G30" s="294"/>
      <c r="H30" s="294"/>
      <c r="I30" s="298"/>
      <c r="J30" s="116"/>
      <c r="K30" s="294"/>
      <c r="L30" s="294"/>
      <c r="M30" s="294"/>
      <c r="N30" s="294"/>
      <c r="O30" s="298"/>
      <c r="P30" s="116"/>
      <c r="Q30" s="294"/>
      <c r="R30" s="294"/>
      <c r="S30" s="294"/>
      <c r="T30" s="294"/>
      <c r="U30" s="116"/>
      <c r="V30" s="294"/>
      <c r="W30" s="294"/>
      <c r="X30" s="116"/>
      <c r="Y30" s="294"/>
      <c r="Z30" s="294"/>
      <c r="AA30" s="116"/>
      <c r="AB30" s="294"/>
      <c r="AC30" s="294"/>
      <c r="AD30" s="116"/>
      <c r="AE30" s="294"/>
      <c r="AF30" s="294"/>
      <c r="AG30" s="294"/>
      <c r="AH30" s="294"/>
      <c r="AI30" s="116"/>
      <c r="AJ30" s="294"/>
      <c r="AK30" s="294"/>
      <c r="AL30" s="294"/>
      <c r="AM30" s="294"/>
      <c r="AN30" s="116"/>
      <c r="AO30" s="294"/>
      <c r="AP30" s="294"/>
      <c r="AQ30" s="294"/>
      <c r="AR30" s="294"/>
      <c r="AS30" s="116"/>
      <c r="AT30" s="120"/>
      <c r="AU30" s="120"/>
      <c r="AV30" s="317"/>
      <c r="AW30" s="324"/>
    </row>
    <row r="31" spans="2:49" s="12" customFormat="1" ht="25.5" x14ac:dyDescent="0.2">
      <c r="B31" s="184" t="s">
        <v>84</v>
      </c>
      <c r="C31" s="139"/>
      <c r="D31" s="299"/>
      <c r="E31" s="117"/>
      <c r="F31" s="117"/>
      <c r="G31" s="117"/>
      <c r="H31" s="117"/>
      <c r="I31" s="116"/>
      <c r="J31" s="299"/>
      <c r="K31" s="117"/>
      <c r="L31" s="117"/>
      <c r="M31" s="117"/>
      <c r="N31" s="117"/>
      <c r="O31" s="116"/>
      <c r="P31" s="299"/>
      <c r="Q31" s="117"/>
      <c r="R31" s="117"/>
      <c r="S31" s="117"/>
      <c r="T31" s="117"/>
      <c r="U31" s="299"/>
      <c r="V31" s="117"/>
      <c r="W31" s="117"/>
      <c r="X31" s="299"/>
      <c r="Y31" s="117"/>
      <c r="Z31" s="117"/>
      <c r="AA31" s="299"/>
      <c r="AB31" s="117"/>
      <c r="AC31" s="117"/>
      <c r="AD31" s="299"/>
      <c r="AE31" s="294"/>
      <c r="AF31" s="294"/>
      <c r="AG31" s="294"/>
      <c r="AH31" s="294"/>
      <c r="AI31" s="299"/>
      <c r="AJ31" s="294"/>
      <c r="AK31" s="294"/>
      <c r="AL31" s="294"/>
      <c r="AM31" s="294"/>
      <c r="AN31" s="299"/>
      <c r="AO31" s="117"/>
      <c r="AP31" s="117"/>
      <c r="AQ31" s="117"/>
      <c r="AR31" s="117"/>
      <c r="AS31" s="299"/>
      <c r="AT31" s="320"/>
      <c r="AU31" s="320"/>
      <c r="AV31" s="317"/>
      <c r="AW31" s="324"/>
    </row>
    <row r="32" spans="2:49" x14ac:dyDescent="0.2">
      <c r="B32" s="182" t="s">
        <v>292</v>
      </c>
      <c r="C32" s="139" t="s">
        <v>48</v>
      </c>
      <c r="D32" s="116"/>
      <c r="E32" s="295"/>
      <c r="F32" s="295"/>
      <c r="G32" s="295"/>
      <c r="H32" s="295"/>
      <c r="I32" s="299"/>
      <c r="J32" s="116"/>
      <c r="K32" s="295"/>
      <c r="L32" s="295"/>
      <c r="M32" s="295"/>
      <c r="N32" s="295"/>
      <c r="O32" s="299"/>
      <c r="P32" s="116"/>
      <c r="Q32" s="295"/>
      <c r="R32" s="295"/>
      <c r="S32" s="295"/>
      <c r="T32" s="295"/>
      <c r="U32" s="116"/>
      <c r="V32" s="295"/>
      <c r="W32" s="295"/>
      <c r="X32" s="116"/>
      <c r="Y32" s="295"/>
      <c r="Z32" s="295"/>
      <c r="AA32" s="116"/>
      <c r="AB32" s="295"/>
      <c r="AC32" s="295"/>
      <c r="AD32" s="116"/>
      <c r="AE32" s="294"/>
      <c r="AF32" s="294"/>
      <c r="AG32" s="294"/>
      <c r="AH32" s="294"/>
      <c r="AI32" s="116"/>
      <c r="AJ32" s="294"/>
      <c r="AK32" s="294"/>
      <c r="AL32" s="294"/>
      <c r="AM32" s="294"/>
      <c r="AN32" s="116"/>
      <c r="AO32" s="295"/>
      <c r="AP32" s="295"/>
      <c r="AQ32" s="295"/>
      <c r="AR32" s="295"/>
      <c r="AS32" s="116"/>
      <c r="AT32" s="120"/>
      <c r="AU32" s="120"/>
      <c r="AV32" s="317"/>
      <c r="AW32" s="324"/>
    </row>
    <row r="33" spans="2:49" s="12"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2" customFormat="1" x14ac:dyDescent="0.2">
      <c r="B34" s="182" t="s">
        <v>90</v>
      </c>
      <c r="C34" s="139" t="s">
        <v>2</v>
      </c>
      <c r="D34" s="116"/>
      <c r="E34" s="294"/>
      <c r="F34" s="294"/>
      <c r="G34" s="294"/>
      <c r="H34" s="294"/>
      <c r="I34" s="298"/>
      <c r="J34" s="116"/>
      <c r="K34" s="294"/>
      <c r="L34" s="294"/>
      <c r="M34" s="294"/>
      <c r="N34" s="294"/>
      <c r="O34" s="298"/>
      <c r="P34" s="116"/>
      <c r="Q34" s="294"/>
      <c r="R34" s="294"/>
      <c r="S34" s="294"/>
      <c r="T34" s="294"/>
      <c r="U34" s="116"/>
      <c r="V34" s="294"/>
      <c r="W34" s="294"/>
      <c r="X34" s="116"/>
      <c r="Y34" s="294"/>
      <c r="Z34" s="294"/>
      <c r="AA34" s="116"/>
      <c r="AB34" s="294"/>
      <c r="AC34" s="294"/>
      <c r="AD34" s="116"/>
      <c r="AE34" s="294"/>
      <c r="AF34" s="294"/>
      <c r="AG34" s="294"/>
      <c r="AH34" s="294"/>
      <c r="AI34" s="116"/>
      <c r="AJ34" s="294"/>
      <c r="AK34" s="294"/>
      <c r="AL34" s="294"/>
      <c r="AM34" s="294"/>
      <c r="AN34" s="116"/>
      <c r="AO34" s="294"/>
      <c r="AP34" s="294"/>
      <c r="AQ34" s="294"/>
      <c r="AR34" s="294"/>
      <c r="AS34" s="116"/>
      <c r="AT34" s="120"/>
      <c r="AU34" s="120"/>
      <c r="AV34" s="317"/>
      <c r="AW34" s="324"/>
    </row>
    <row r="35" spans="2:49" s="12" customFormat="1" x14ac:dyDescent="0.2">
      <c r="B35" s="184" t="s">
        <v>91</v>
      </c>
      <c r="C35" s="139"/>
      <c r="D35" s="299"/>
      <c r="E35" s="117"/>
      <c r="F35" s="117"/>
      <c r="G35" s="117"/>
      <c r="H35" s="117"/>
      <c r="I35" s="116"/>
      <c r="J35" s="299"/>
      <c r="K35" s="117"/>
      <c r="L35" s="117"/>
      <c r="M35" s="117"/>
      <c r="N35" s="117"/>
      <c r="O35" s="116"/>
      <c r="P35" s="299"/>
      <c r="Q35" s="117"/>
      <c r="R35" s="117"/>
      <c r="S35" s="117"/>
      <c r="T35" s="117"/>
      <c r="U35" s="299"/>
      <c r="V35" s="117"/>
      <c r="W35" s="117"/>
      <c r="X35" s="299"/>
      <c r="Y35" s="117"/>
      <c r="Z35" s="117"/>
      <c r="AA35" s="299"/>
      <c r="AB35" s="117"/>
      <c r="AC35" s="117"/>
      <c r="AD35" s="299"/>
      <c r="AE35" s="294"/>
      <c r="AF35" s="294"/>
      <c r="AG35" s="294"/>
      <c r="AH35" s="294"/>
      <c r="AI35" s="299"/>
      <c r="AJ35" s="294"/>
      <c r="AK35" s="294"/>
      <c r="AL35" s="294"/>
      <c r="AM35" s="294"/>
      <c r="AN35" s="299"/>
      <c r="AO35" s="117"/>
      <c r="AP35" s="117"/>
      <c r="AQ35" s="117"/>
      <c r="AR35" s="117"/>
      <c r="AS35" s="299"/>
      <c r="AT35" s="320"/>
      <c r="AU35" s="320"/>
      <c r="AV35" s="317"/>
      <c r="AW35" s="324"/>
    </row>
    <row r="36" spans="2:49" x14ac:dyDescent="0.2">
      <c r="B36" s="182" t="s">
        <v>294</v>
      </c>
      <c r="C36" s="139"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4"/>
      <c r="AF36" s="294"/>
      <c r="AG36" s="294"/>
      <c r="AH36" s="294"/>
      <c r="AI36" s="116"/>
      <c r="AJ36" s="294"/>
      <c r="AK36" s="294"/>
      <c r="AL36" s="294"/>
      <c r="AM36" s="294"/>
      <c r="AN36" s="116"/>
      <c r="AO36" s="117"/>
      <c r="AP36" s="117"/>
      <c r="AQ36" s="117"/>
      <c r="AR36" s="117"/>
      <c r="AS36" s="116"/>
      <c r="AT36" s="120"/>
      <c r="AU36" s="120"/>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6"/>
      <c r="E38" s="294"/>
      <c r="F38" s="294"/>
      <c r="G38" s="294"/>
      <c r="H38" s="294"/>
      <c r="I38" s="298"/>
      <c r="J38" s="116"/>
      <c r="K38" s="294"/>
      <c r="L38" s="294"/>
      <c r="M38" s="294"/>
      <c r="N38" s="294"/>
      <c r="O38" s="298"/>
      <c r="P38" s="116"/>
      <c r="Q38" s="294"/>
      <c r="R38" s="294"/>
      <c r="S38" s="294"/>
      <c r="T38" s="294"/>
      <c r="U38" s="116"/>
      <c r="V38" s="294"/>
      <c r="W38" s="294"/>
      <c r="X38" s="116"/>
      <c r="Y38" s="294"/>
      <c r="Z38" s="294"/>
      <c r="AA38" s="116"/>
      <c r="AB38" s="294"/>
      <c r="AC38" s="294"/>
      <c r="AD38" s="116"/>
      <c r="AE38" s="294"/>
      <c r="AF38" s="294"/>
      <c r="AG38" s="294"/>
      <c r="AH38" s="294"/>
      <c r="AI38" s="116"/>
      <c r="AJ38" s="294"/>
      <c r="AK38" s="294"/>
      <c r="AL38" s="294"/>
      <c r="AM38" s="294"/>
      <c r="AN38" s="116"/>
      <c r="AO38" s="294"/>
      <c r="AP38" s="294"/>
      <c r="AQ38" s="294"/>
      <c r="AR38" s="294"/>
      <c r="AS38" s="116"/>
      <c r="AT38" s="120"/>
      <c r="AU38" s="120"/>
      <c r="AV38" s="317"/>
      <c r="AW38" s="324"/>
    </row>
    <row r="39" spans="2:49" ht="28.15" customHeight="1" x14ac:dyDescent="0.2">
      <c r="B39" s="184" t="s">
        <v>86</v>
      </c>
      <c r="C39" s="139"/>
      <c r="D39" s="299"/>
      <c r="E39" s="117"/>
      <c r="F39" s="117"/>
      <c r="G39" s="117"/>
      <c r="H39" s="117"/>
      <c r="I39" s="116"/>
      <c r="J39" s="299"/>
      <c r="K39" s="117"/>
      <c r="L39" s="117"/>
      <c r="M39" s="117"/>
      <c r="N39" s="117"/>
      <c r="O39" s="116"/>
      <c r="P39" s="299"/>
      <c r="Q39" s="117"/>
      <c r="R39" s="117"/>
      <c r="S39" s="117"/>
      <c r="T39" s="117"/>
      <c r="U39" s="299"/>
      <c r="V39" s="117"/>
      <c r="W39" s="117"/>
      <c r="X39" s="299"/>
      <c r="Y39" s="117"/>
      <c r="Z39" s="117"/>
      <c r="AA39" s="299"/>
      <c r="AB39" s="117"/>
      <c r="AC39" s="117"/>
      <c r="AD39" s="299"/>
      <c r="AE39" s="294"/>
      <c r="AF39" s="294"/>
      <c r="AG39" s="294"/>
      <c r="AH39" s="294"/>
      <c r="AI39" s="299"/>
      <c r="AJ39" s="294"/>
      <c r="AK39" s="294"/>
      <c r="AL39" s="294"/>
      <c r="AM39" s="294"/>
      <c r="AN39" s="299"/>
      <c r="AO39" s="117"/>
      <c r="AP39" s="117"/>
      <c r="AQ39" s="117"/>
      <c r="AR39" s="117"/>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6"/>
      <c r="E41" s="294"/>
      <c r="F41" s="294"/>
      <c r="G41" s="294"/>
      <c r="H41" s="294"/>
      <c r="I41" s="298"/>
      <c r="J41" s="116"/>
      <c r="K41" s="294"/>
      <c r="L41" s="294"/>
      <c r="M41" s="294"/>
      <c r="N41" s="294"/>
      <c r="O41" s="298"/>
      <c r="P41" s="116"/>
      <c r="Q41" s="294"/>
      <c r="R41" s="294"/>
      <c r="S41" s="294"/>
      <c r="T41" s="294"/>
      <c r="U41" s="116"/>
      <c r="V41" s="294"/>
      <c r="W41" s="294"/>
      <c r="X41" s="116"/>
      <c r="Y41" s="294"/>
      <c r="Z41" s="294"/>
      <c r="AA41" s="116"/>
      <c r="AB41" s="294"/>
      <c r="AC41" s="294"/>
      <c r="AD41" s="116"/>
      <c r="AE41" s="294"/>
      <c r="AF41" s="294"/>
      <c r="AG41" s="294"/>
      <c r="AH41" s="294"/>
      <c r="AI41" s="116"/>
      <c r="AJ41" s="294"/>
      <c r="AK41" s="294"/>
      <c r="AL41" s="294"/>
      <c r="AM41" s="294"/>
      <c r="AN41" s="116"/>
      <c r="AO41" s="294"/>
      <c r="AP41" s="294"/>
      <c r="AQ41" s="294"/>
      <c r="AR41" s="294"/>
      <c r="AS41" s="116"/>
      <c r="AT41" s="120"/>
      <c r="AU41" s="120"/>
      <c r="AV41" s="317"/>
      <c r="AW41" s="324"/>
    </row>
    <row r="42" spans="2:49" s="12" customFormat="1" ht="25.5" x14ac:dyDescent="0.2">
      <c r="B42" s="184" t="s">
        <v>92</v>
      </c>
      <c r="C42" s="139"/>
      <c r="D42" s="299"/>
      <c r="E42" s="117"/>
      <c r="F42" s="117"/>
      <c r="G42" s="117"/>
      <c r="H42" s="117"/>
      <c r="I42" s="116"/>
      <c r="J42" s="299"/>
      <c r="K42" s="117"/>
      <c r="L42" s="117"/>
      <c r="M42" s="117"/>
      <c r="N42" s="117"/>
      <c r="O42" s="116"/>
      <c r="P42" s="299"/>
      <c r="Q42" s="117"/>
      <c r="R42" s="117"/>
      <c r="S42" s="117"/>
      <c r="T42" s="117"/>
      <c r="U42" s="299"/>
      <c r="V42" s="117"/>
      <c r="W42" s="117"/>
      <c r="X42" s="299"/>
      <c r="Y42" s="117"/>
      <c r="Z42" s="117"/>
      <c r="AA42" s="299"/>
      <c r="AB42" s="117"/>
      <c r="AC42" s="117"/>
      <c r="AD42" s="299"/>
      <c r="AE42" s="294"/>
      <c r="AF42" s="294"/>
      <c r="AG42" s="294"/>
      <c r="AH42" s="294"/>
      <c r="AI42" s="299"/>
      <c r="AJ42" s="294"/>
      <c r="AK42" s="294"/>
      <c r="AL42" s="294"/>
      <c r="AM42" s="294"/>
      <c r="AN42" s="299"/>
      <c r="AO42" s="117"/>
      <c r="AP42" s="117"/>
      <c r="AQ42" s="117"/>
      <c r="AR42" s="117"/>
      <c r="AS42" s="299"/>
      <c r="AT42" s="320"/>
      <c r="AU42" s="320"/>
      <c r="AV42" s="317"/>
      <c r="AW42" s="324"/>
    </row>
    <row r="43" spans="2:49" x14ac:dyDescent="0.2">
      <c r="B43" s="182" t="s">
        <v>297</v>
      </c>
      <c r="C43" s="139" t="s">
        <v>46</v>
      </c>
      <c r="D43" s="116"/>
      <c r="E43" s="295"/>
      <c r="F43" s="295"/>
      <c r="G43" s="295"/>
      <c r="H43" s="295"/>
      <c r="I43" s="299"/>
      <c r="J43" s="116"/>
      <c r="K43" s="295"/>
      <c r="L43" s="295"/>
      <c r="M43" s="295"/>
      <c r="N43" s="295"/>
      <c r="O43" s="299"/>
      <c r="P43" s="116"/>
      <c r="Q43" s="295"/>
      <c r="R43" s="295"/>
      <c r="S43" s="295"/>
      <c r="T43" s="295"/>
      <c r="U43" s="116"/>
      <c r="V43" s="295"/>
      <c r="W43" s="295"/>
      <c r="X43" s="116"/>
      <c r="Y43" s="295"/>
      <c r="Z43" s="295"/>
      <c r="AA43" s="116"/>
      <c r="AB43" s="295"/>
      <c r="AC43" s="295"/>
      <c r="AD43" s="298"/>
      <c r="AE43" s="294"/>
      <c r="AF43" s="294"/>
      <c r="AG43" s="294"/>
      <c r="AH43" s="294"/>
      <c r="AI43" s="116"/>
      <c r="AJ43" s="294"/>
      <c r="AK43" s="294"/>
      <c r="AL43" s="294"/>
      <c r="AM43" s="294"/>
      <c r="AN43" s="116"/>
      <c r="AO43" s="295"/>
      <c r="AP43" s="295"/>
      <c r="AQ43" s="295"/>
      <c r="AR43" s="295"/>
      <c r="AS43" s="116"/>
      <c r="AT43" s="120"/>
      <c r="AU43" s="120"/>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6">
        <v>-393633</v>
      </c>
      <c r="E45" s="116">
        <v>-393633</v>
      </c>
      <c r="F45" s="117"/>
      <c r="G45" s="117"/>
      <c r="H45" s="117"/>
      <c r="I45" s="116">
        <v>0</v>
      </c>
      <c r="J45" s="116">
        <v>-101887</v>
      </c>
      <c r="K45" s="116">
        <v>-101887</v>
      </c>
      <c r="L45" s="117"/>
      <c r="M45" s="117"/>
      <c r="N45" s="117"/>
      <c r="O45" s="116"/>
      <c r="P45" s="116">
        <v>-753447</v>
      </c>
      <c r="Q45" s="116">
        <v>-753447</v>
      </c>
      <c r="R45" s="117"/>
      <c r="S45" s="117"/>
      <c r="T45" s="117"/>
      <c r="U45" s="116"/>
      <c r="V45" s="117"/>
      <c r="W45" s="117"/>
      <c r="X45" s="116"/>
      <c r="Y45" s="117"/>
      <c r="Z45" s="117"/>
      <c r="AA45" s="116"/>
      <c r="AB45" s="117"/>
      <c r="AC45" s="117"/>
      <c r="AD45" s="116"/>
      <c r="AE45" s="294"/>
      <c r="AF45" s="294"/>
      <c r="AG45" s="294"/>
      <c r="AH45" s="294"/>
      <c r="AI45" s="116"/>
      <c r="AJ45" s="294"/>
      <c r="AK45" s="294"/>
      <c r="AL45" s="294"/>
      <c r="AM45" s="294"/>
      <c r="AN45" s="116"/>
      <c r="AO45" s="117"/>
      <c r="AP45" s="117"/>
      <c r="AQ45" s="117"/>
      <c r="AR45" s="117"/>
      <c r="AS45" s="116"/>
      <c r="AT45" s="120"/>
      <c r="AU45" s="120"/>
      <c r="AV45" s="317"/>
      <c r="AW45" s="324"/>
    </row>
    <row r="46" spans="2:49" x14ac:dyDescent="0.2">
      <c r="B46" s="182" t="s">
        <v>116</v>
      </c>
      <c r="C46" s="139" t="s">
        <v>31</v>
      </c>
      <c r="D46" s="116">
        <v>-2197220</v>
      </c>
      <c r="E46" s="116">
        <v>-2197220</v>
      </c>
      <c r="F46" s="117"/>
      <c r="G46" s="117"/>
      <c r="H46" s="117"/>
      <c r="I46" s="116">
        <v>0</v>
      </c>
      <c r="J46" s="116">
        <v>-568725</v>
      </c>
      <c r="K46" s="116">
        <v>-568725</v>
      </c>
      <c r="L46" s="117"/>
      <c r="M46" s="117"/>
      <c r="N46" s="117"/>
      <c r="O46" s="116"/>
      <c r="P46" s="116">
        <v>-4205673</v>
      </c>
      <c r="Q46" s="116">
        <v>-4205673</v>
      </c>
      <c r="R46" s="117"/>
      <c r="S46" s="117"/>
      <c r="T46" s="117"/>
      <c r="U46" s="116"/>
      <c r="V46" s="117"/>
      <c r="W46" s="117"/>
      <c r="X46" s="116"/>
      <c r="Y46" s="117"/>
      <c r="Z46" s="117"/>
      <c r="AA46" s="116"/>
      <c r="AB46" s="117"/>
      <c r="AC46" s="117"/>
      <c r="AD46" s="116"/>
      <c r="AE46" s="294"/>
      <c r="AF46" s="294"/>
      <c r="AG46" s="294"/>
      <c r="AH46" s="294"/>
      <c r="AI46" s="116"/>
      <c r="AJ46" s="294"/>
      <c r="AK46" s="294"/>
      <c r="AL46" s="294"/>
      <c r="AM46" s="294"/>
      <c r="AN46" s="116"/>
      <c r="AO46" s="117"/>
      <c r="AP46" s="117"/>
      <c r="AQ46" s="117"/>
      <c r="AR46" s="117"/>
      <c r="AS46" s="116"/>
      <c r="AT46" s="120"/>
      <c r="AU46" s="120"/>
      <c r="AV46" s="317"/>
      <c r="AW46" s="324"/>
    </row>
    <row r="47" spans="2:49" x14ac:dyDescent="0.2">
      <c r="B47" s="182" t="s">
        <v>117</v>
      </c>
      <c r="C47" s="139" t="s">
        <v>32</v>
      </c>
      <c r="D47" s="116">
        <v>-611598</v>
      </c>
      <c r="E47" s="295"/>
      <c r="F47" s="295"/>
      <c r="G47" s="295"/>
      <c r="H47" s="295"/>
      <c r="I47" s="299"/>
      <c r="J47" s="116">
        <v>-158305</v>
      </c>
      <c r="K47" s="295"/>
      <c r="L47" s="295"/>
      <c r="M47" s="295"/>
      <c r="N47" s="295"/>
      <c r="O47" s="299"/>
      <c r="P47" s="116">
        <v>-1170652</v>
      </c>
      <c r="Q47" s="295"/>
      <c r="R47" s="295"/>
      <c r="S47" s="295"/>
      <c r="T47" s="295"/>
      <c r="U47" s="116"/>
      <c r="V47" s="295"/>
      <c r="W47" s="295"/>
      <c r="X47" s="116"/>
      <c r="Y47" s="295"/>
      <c r="Z47" s="295"/>
      <c r="AA47" s="116"/>
      <c r="AB47" s="295"/>
      <c r="AC47" s="295"/>
      <c r="AD47" s="116"/>
      <c r="AE47" s="294"/>
      <c r="AF47" s="294"/>
      <c r="AG47" s="294"/>
      <c r="AH47" s="294"/>
      <c r="AI47" s="116"/>
      <c r="AJ47" s="294"/>
      <c r="AK47" s="294"/>
      <c r="AL47" s="294"/>
      <c r="AM47" s="294"/>
      <c r="AN47" s="116"/>
      <c r="AO47" s="295"/>
      <c r="AP47" s="295"/>
      <c r="AQ47" s="295"/>
      <c r="AR47" s="295"/>
      <c r="AS47" s="116"/>
      <c r="AT47" s="120"/>
      <c r="AU47" s="120"/>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4"/>
      <c r="AF49" s="294"/>
      <c r="AG49" s="294"/>
      <c r="AH49" s="294"/>
      <c r="AI49" s="116"/>
      <c r="AJ49" s="294"/>
      <c r="AK49" s="294"/>
      <c r="AL49" s="294"/>
      <c r="AM49" s="294"/>
      <c r="AN49" s="116"/>
      <c r="AO49" s="117"/>
      <c r="AP49" s="117"/>
      <c r="AQ49" s="117"/>
      <c r="AR49" s="117"/>
      <c r="AS49" s="116"/>
      <c r="AT49" s="120"/>
      <c r="AU49" s="120"/>
      <c r="AV49" s="317"/>
      <c r="AW49" s="324"/>
    </row>
    <row r="50" spans="2:49" x14ac:dyDescent="0.2">
      <c r="B50" s="182" t="s">
        <v>119</v>
      </c>
      <c r="C50" s="139" t="s">
        <v>34</v>
      </c>
      <c r="D50" s="116"/>
      <c r="E50" s="295"/>
      <c r="F50" s="295"/>
      <c r="G50" s="295"/>
      <c r="H50" s="295"/>
      <c r="I50" s="299"/>
      <c r="J50" s="116"/>
      <c r="K50" s="295"/>
      <c r="L50" s="295"/>
      <c r="M50" s="295"/>
      <c r="N50" s="295"/>
      <c r="O50" s="299"/>
      <c r="P50" s="116"/>
      <c r="Q50" s="295"/>
      <c r="R50" s="295"/>
      <c r="S50" s="295"/>
      <c r="T50" s="295"/>
      <c r="U50" s="116"/>
      <c r="V50" s="295"/>
      <c r="W50" s="295"/>
      <c r="X50" s="116"/>
      <c r="Y50" s="295"/>
      <c r="Z50" s="295"/>
      <c r="AA50" s="116"/>
      <c r="AB50" s="295"/>
      <c r="AC50" s="295"/>
      <c r="AD50" s="116"/>
      <c r="AE50" s="294"/>
      <c r="AF50" s="294"/>
      <c r="AG50" s="294"/>
      <c r="AH50" s="294"/>
      <c r="AI50" s="116"/>
      <c r="AJ50" s="294"/>
      <c r="AK50" s="294"/>
      <c r="AL50" s="294"/>
      <c r="AM50" s="294"/>
      <c r="AN50" s="116"/>
      <c r="AO50" s="295"/>
      <c r="AP50" s="295"/>
      <c r="AQ50" s="295"/>
      <c r="AR50" s="295"/>
      <c r="AS50" s="116"/>
      <c r="AT50" s="120"/>
      <c r="AU50" s="120"/>
      <c r="AV50" s="317"/>
      <c r="AW50" s="324"/>
    </row>
    <row r="51" spans="2:49" s="12" customFormat="1" x14ac:dyDescent="0.2">
      <c r="B51" s="182" t="s">
        <v>300</v>
      </c>
      <c r="C51" s="139"/>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4"/>
      <c r="AF51" s="294"/>
      <c r="AG51" s="294"/>
      <c r="AH51" s="294"/>
      <c r="AI51" s="116"/>
      <c r="AJ51" s="294"/>
      <c r="AK51" s="294"/>
      <c r="AL51" s="294"/>
      <c r="AM51" s="294"/>
      <c r="AN51" s="116"/>
      <c r="AO51" s="117"/>
      <c r="AP51" s="117"/>
      <c r="AQ51" s="117"/>
      <c r="AR51" s="117"/>
      <c r="AS51" s="116"/>
      <c r="AT51" s="120"/>
      <c r="AU51" s="120"/>
      <c r="AV51" s="317"/>
      <c r="AW51" s="324"/>
    </row>
    <row r="52" spans="2:49" x14ac:dyDescent="0.2">
      <c r="B52" s="182" t="s">
        <v>301</v>
      </c>
      <c r="C52" s="139"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4"/>
      <c r="AF52" s="294"/>
      <c r="AG52" s="294"/>
      <c r="AH52" s="294"/>
      <c r="AI52" s="116"/>
      <c r="AJ52" s="294"/>
      <c r="AK52" s="294"/>
      <c r="AL52" s="294"/>
      <c r="AM52" s="294"/>
      <c r="AN52" s="116"/>
      <c r="AO52" s="117"/>
      <c r="AP52" s="117"/>
      <c r="AQ52" s="117"/>
      <c r="AR52" s="117"/>
      <c r="AS52" s="116"/>
      <c r="AT52" s="120"/>
      <c r="AU52" s="120"/>
      <c r="AV52" s="317"/>
      <c r="AW52" s="324"/>
    </row>
    <row r="53" spans="2:49" s="12" customFormat="1" x14ac:dyDescent="0.2">
      <c r="B53" s="182" t="s">
        <v>302</v>
      </c>
      <c r="C53" s="139"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4"/>
      <c r="AF53" s="294"/>
      <c r="AG53" s="294"/>
      <c r="AH53" s="294"/>
      <c r="AI53" s="116"/>
      <c r="AJ53" s="294"/>
      <c r="AK53" s="294"/>
      <c r="AL53" s="294"/>
      <c r="AM53" s="294"/>
      <c r="AN53" s="116"/>
      <c r="AO53" s="117"/>
      <c r="AP53" s="117"/>
      <c r="AQ53" s="117"/>
      <c r="AR53" s="117"/>
      <c r="AS53" s="116"/>
      <c r="AT53" s="120"/>
      <c r="AU53" s="120"/>
      <c r="AV53" s="317"/>
      <c r="AW53" s="324"/>
    </row>
    <row r="54" spans="2:49" s="110" customFormat="1" x14ac:dyDescent="0.2">
      <c r="B54" s="187" t="s">
        <v>303</v>
      </c>
      <c r="C54" s="142" t="s">
        <v>77</v>
      </c>
      <c r="D54" s="388">
        <f>D23+D26-D28+D30-D32+D34-D36+D38+D41-D43+D45+D46-D47-D49+D50+D51+D52+D53</f>
        <v>117865385</v>
      </c>
      <c r="E54" s="389">
        <f>E24+E27+E31+E35-E36+E39+E42+E45+E46-E49+E51+E52+E53</f>
        <v>117577730</v>
      </c>
      <c r="F54" s="389">
        <f t="shared" ref="F54:H54" si="0">F24+F27+F31+F35-F36+F39+F42+F45+F46-F49+F51+F52+F53</f>
        <v>0</v>
      </c>
      <c r="G54" s="389">
        <f t="shared" si="0"/>
        <v>0</v>
      </c>
      <c r="H54" s="389">
        <f t="shared" si="0"/>
        <v>0</v>
      </c>
      <c r="I54" s="388">
        <f>I24+I27+I31+I35-I36+I39+I42+I45+I46-I49+I51+I52+I53</f>
        <v>111532663.31237812</v>
      </c>
      <c r="J54" s="388">
        <f>J23+J26-J28+J30-J32+J34-J36+J38+J41-J43+J45+J46-J47-J49+J50+J51+J52+J53</f>
        <v>88389268</v>
      </c>
      <c r="K54" s="389">
        <f>K24+K27+K31+K35-K36+K39+K42+K45+K46-K49+K51+K52+K53</f>
        <v>89001483</v>
      </c>
      <c r="L54" s="122">
        <v>0</v>
      </c>
      <c r="M54" s="122">
        <v>0</v>
      </c>
      <c r="N54" s="122">
        <v>0</v>
      </c>
      <c r="O54" s="121">
        <v>0</v>
      </c>
      <c r="P54" s="388">
        <f>P23+P26-P28+P30-P32+P34-P36+P38+P41-P43+P45+P46-P47-P49+P50+P51+P52+P53</f>
        <v>630600914</v>
      </c>
      <c r="Q54" s="388">
        <f>Q24+Q27+Q31+Q35-Q36+Q39+Q42+Q45+Q46-Q49+Q51+Q52+Q53</f>
        <v>634024013</v>
      </c>
      <c r="R54" s="122">
        <v>0</v>
      </c>
      <c r="S54" s="122">
        <v>0</v>
      </c>
      <c r="T54" s="122">
        <v>0</v>
      </c>
      <c r="U54" s="121">
        <v>0</v>
      </c>
      <c r="V54" s="122">
        <v>0</v>
      </c>
      <c r="W54" s="122">
        <v>0</v>
      </c>
      <c r="X54" s="121">
        <f>X23+X26-X28+X30-X32+X34-X36+X38+X41-X43+X45+X46-X47-X49+X50+X51+X52+X53</f>
        <v>0</v>
      </c>
      <c r="Y54" s="122">
        <f>Y24+Y27+Y31+Y35-Y36+Y39+Y42+Y45+Y46-Y49+Y51+Y52+Y53</f>
        <v>0</v>
      </c>
      <c r="Z54" s="122">
        <f t="shared" ref="Z54" si="1">Z24+Z27+Z31+Z35-Z36+Z39+Z42+Z45+Z46-Z49+Z51+Z52+Z53</f>
        <v>0</v>
      </c>
      <c r="AA54" s="121">
        <f>AA23+AA26-AA28+AA30-AA32+AA34-AA36+AA38+AA41-AA43+AA45+AA46-AA47-AA49+AA50+AA51+AA52+AA53</f>
        <v>0</v>
      </c>
      <c r="AB54" s="122">
        <f>AB24+AB27+AB31+AB35-AB36+AB39+AB42+AB45+AB46-AB49+AB51+AB52+AB53</f>
        <v>0</v>
      </c>
      <c r="AC54" s="122">
        <f t="shared" ref="AC54" si="2">AC24+AC27+AC31+AC35-AC36+AC39+AC42+AC45+AC46-AC49+AC51+AC52+AC53</f>
        <v>0</v>
      </c>
      <c r="AD54" s="121"/>
      <c r="AE54" s="294"/>
      <c r="AF54" s="294"/>
      <c r="AG54" s="294"/>
      <c r="AH54" s="294"/>
      <c r="AI54" s="121"/>
      <c r="AJ54" s="294"/>
      <c r="AK54" s="294"/>
      <c r="AL54" s="294"/>
      <c r="AM54" s="294"/>
      <c r="AN54" s="121">
        <f>AN23+AN26-AN28+AN30-AN32+AN34-AN36+AN38+AN41-AN43+AN45+AN46-AN47-AN49+AN50+AN51+AN52+AN53</f>
        <v>0</v>
      </c>
      <c r="AO54" s="122">
        <f>AO24+AO27+AO31+AO35-AO36+AO39+AO42+AO45+AO46-AO49+AO51+AO52+AO53</f>
        <v>0</v>
      </c>
      <c r="AP54" s="122">
        <f t="shared" ref="AP54:AR54" si="3">AP24+AP27+AP31+AP35-AP36+AP39+AP42+AP45+AP46-AP49+AP51+AP52+AP53</f>
        <v>0</v>
      </c>
      <c r="AQ54" s="122">
        <f t="shared" si="3"/>
        <v>0</v>
      </c>
      <c r="AR54" s="122">
        <f t="shared" si="3"/>
        <v>0</v>
      </c>
      <c r="AS54" s="121">
        <f t="shared" ref="AS54:AU54" si="4">AS23+AS26-AS28+AS30-AS32+AS34-AS36+AS38+AS41-AS43+AS45+AS46-AS47-AS49+AS50+AS51+AS52+AS53</f>
        <v>136486997</v>
      </c>
      <c r="AT54" s="123">
        <f t="shared" si="4"/>
        <v>28996848</v>
      </c>
      <c r="AU54" s="123">
        <f t="shared" si="4"/>
        <v>0</v>
      </c>
      <c r="AV54" s="317"/>
      <c r="AW54" s="324"/>
    </row>
    <row r="55" spans="2:49" ht="25.5" x14ac:dyDescent="0.2">
      <c r="B55" s="187" t="s">
        <v>304</v>
      </c>
      <c r="C55" s="143" t="s">
        <v>28</v>
      </c>
      <c r="D55" s="388">
        <f>MIN(MAX(0,D56),MAX(0,D57))</f>
        <v>0</v>
      </c>
      <c r="E55" s="389">
        <f>MIN(MAX(0,E56),MAX(0,E57))</f>
        <v>0</v>
      </c>
      <c r="F55" s="389">
        <f t="shared" ref="F55:H55" si="5">MIN(MAX(0,F56),MAX(0,F57))</f>
        <v>0</v>
      </c>
      <c r="G55" s="389">
        <f t="shared" si="5"/>
        <v>0</v>
      </c>
      <c r="H55" s="389">
        <f t="shared" si="5"/>
        <v>0</v>
      </c>
      <c r="I55" s="121"/>
      <c r="J55" s="388">
        <f t="shared" ref="J55:K55" si="6">MIN(MAX(0,J56),MAX(0,J57))</f>
        <v>0</v>
      </c>
      <c r="K55" s="389">
        <f t="shared" si="6"/>
        <v>0</v>
      </c>
      <c r="L55" s="122">
        <v>0</v>
      </c>
      <c r="M55" s="122">
        <v>0</v>
      </c>
      <c r="N55" s="122">
        <v>0</v>
      </c>
      <c r="O55" s="121">
        <v>0</v>
      </c>
      <c r="P55" s="121">
        <v>0</v>
      </c>
      <c r="Q55" s="122">
        <v>0</v>
      </c>
      <c r="R55" s="122">
        <v>0</v>
      </c>
      <c r="S55" s="122">
        <v>0</v>
      </c>
      <c r="T55" s="122">
        <v>0</v>
      </c>
      <c r="U55" s="121">
        <v>0</v>
      </c>
      <c r="V55" s="122">
        <v>0</v>
      </c>
      <c r="W55" s="122">
        <v>0</v>
      </c>
      <c r="X55" s="121">
        <f t="shared" ref="X55:AC55" si="7">MIN(MAX(0,X56),MAX(0,X57))</f>
        <v>0</v>
      </c>
      <c r="Y55" s="122">
        <f t="shared" si="7"/>
        <v>0</v>
      </c>
      <c r="Z55" s="122">
        <f t="shared" si="7"/>
        <v>0</v>
      </c>
      <c r="AA55" s="121">
        <f t="shared" si="7"/>
        <v>0</v>
      </c>
      <c r="AB55" s="122">
        <f t="shared" si="7"/>
        <v>0</v>
      </c>
      <c r="AC55" s="122">
        <f t="shared" si="7"/>
        <v>0</v>
      </c>
      <c r="AD55" s="121"/>
      <c r="AE55" s="294"/>
      <c r="AF55" s="294"/>
      <c r="AG55" s="294"/>
      <c r="AH55" s="294"/>
      <c r="AI55" s="121"/>
      <c r="AJ55" s="294"/>
      <c r="AK55" s="294"/>
      <c r="AL55" s="294"/>
      <c r="AM55" s="294"/>
      <c r="AN55" s="121">
        <f t="shared" ref="AN55:AR55" si="8">MIN(MAX(0,AN56),MAX(0,AN57))</f>
        <v>0</v>
      </c>
      <c r="AO55" s="122">
        <f t="shared" si="8"/>
        <v>0</v>
      </c>
      <c r="AP55" s="122">
        <f t="shared" si="8"/>
        <v>0</v>
      </c>
      <c r="AQ55" s="122">
        <f t="shared" si="8"/>
        <v>0</v>
      </c>
      <c r="AR55" s="122">
        <f t="shared" si="8"/>
        <v>0</v>
      </c>
      <c r="AS55" s="121">
        <f t="shared" ref="AS55:AU55" si="9">MIN(MAX(0,AS56),MAX(0,AS57))</f>
        <v>0</v>
      </c>
      <c r="AT55" s="123">
        <f t="shared" si="9"/>
        <v>0</v>
      </c>
      <c r="AU55" s="123">
        <f t="shared" si="9"/>
        <v>0</v>
      </c>
      <c r="AV55" s="317"/>
      <c r="AW55" s="324"/>
    </row>
    <row r="56" spans="2:49" ht="11.85" customHeight="1" x14ac:dyDescent="0.2">
      <c r="B56" s="182" t="s">
        <v>120</v>
      </c>
      <c r="C56" s="143"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4"/>
      <c r="AF56" s="294"/>
      <c r="AG56" s="294"/>
      <c r="AH56" s="294"/>
      <c r="AI56" s="116"/>
      <c r="AJ56" s="294"/>
      <c r="AK56" s="294"/>
      <c r="AL56" s="294"/>
      <c r="AM56" s="294"/>
      <c r="AN56" s="116"/>
      <c r="AO56" s="117"/>
      <c r="AP56" s="117"/>
      <c r="AQ56" s="117"/>
      <c r="AR56" s="117"/>
      <c r="AS56" s="116"/>
      <c r="AT56" s="120"/>
      <c r="AU56" s="120"/>
      <c r="AV56" s="120"/>
      <c r="AW56" s="324"/>
    </row>
    <row r="57" spans="2:49" x14ac:dyDescent="0.2">
      <c r="B57" s="182" t="s">
        <v>121</v>
      </c>
      <c r="C57" s="143"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4"/>
      <c r="AF57" s="294"/>
      <c r="AG57" s="294"/>
      <c r="AH57" s="294"/>
      <c r="AI57" s="116"/>
      <c r="AJ57" s="294"/>
      <c r="AK57" s="294"/>
      <c r="AL57" s="294"/>
      <c r="AM57" s="294"/>
      <c r="AN57" s="116"/>
      <c r="AO57" s="117"/>
      <c r="AP57" s="117"/>
      <c r="AQ57" s="117"/>
      <c r="AR57" s="117"/>
      <c r="AS57" s="116"/>
      <c r="AT57" s="120"/>
      <c r="AU57" s="120"/>
      <c r="AV57" s="120"/>
      <c r="AW57" s="324"/>
    </row>
    <row r="58" spans="2:49" s="12" customFormat="1" x14ac:dyDescent="0.2">
      <c r="B58" s="190" t="s">
        <v>484</v>
      </c>
      <c r="C58" s="191"/>
      <c r="D58" s="192"/>
      <c r="E58" s="193"/>
      <c r="F58" s="193"/>
      <c r="G58" s="193"/>
      <c r="H58" s="193"/>
      <c r="I58" s="390">
        <v>8100000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2"/>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04" priority="436" stopIfTrue="1" operator="lessThan">
      <formula>0</formula>
    </cfRule>
  </conditionalFormatting>
  <conditionalFormatting sqref="AA11:AA14">
    <cfRule type="cellIs" dxfId="503" priority="434" stopIfTrue="1" operator="lessThan">
      <formula>0</formula>
    </cfRule>
  </conditionalFormatting>
  <conditionalFormatting sqref="AN18:AN19">
    <cfRule type="cellIs" dxfId="502" priority="410" stopIfTrue="1" operator="lessThan">
      <formula>0</formula>
    </cfRule>
  </conditionalFormatting>
  <conditionalFormatting sqref="AU47">
    <cfRule type="cellIs" dxfId="501" priority="79" stopIfTrue="1" operator="lessThan">
      <formula>0</formula>
    </cfRule>
  </conditionalFormatting>
  <conditionalFormatting sqref="AU51">
    <cfRule type="cellIs" dxfId="500" priority="70" stopIfTrue="1" operator="lessThan">
      <formula>0</formula>
    </cfRule>
  </conditionalFormatting>
  <conditionalFormatting sqref="AT52">
    <cfRule type="cellIs" dxfId="499" priority="68" stopIfTrue="1" operator="lessThan">
      <formula>0</formula>
    </cfRule>
  </conditionalFormatting>
  <conditionalFormatting sqref="U5:U7">
    <cfRule type="cellIs" dxfId="498" priority="527" stopIfTrue="1" operator="lessThan">
      <formula>0</formula>
    </cfRule>
  </conditionalFormatting>
  <conditionalFormatting sqref="X5:X7">
    <cfRule type="cellIs" dxfId="497" priority="526" stopIfTrue="1" operator="lessThan">
      <formula>0</formula>
    </cfRule>
  </conditionalFormatting>
  <conditionalFormatting sqref="AA5:AA7">
    <cfRule type="cellIs" dxfId="496" priority="525" stopIfTrue="1" operator="lessThan">
      <formula>0</formula>
    </cfRule>
  </conditionalFormatting>
  <conditionalFormatting sqref="AD5:AD7">
    <cfRule type="cellIs" dxfId="495" priority="524" stopIfTrue="1" operator="lessThan">
      <formula>0</formula>
    </cfRule>
  </conditionalFormatting>
  <conditionalFormatting sqref="AI5:AI7">
    <cfRule type="cellIs" dxfId="494" priority="523" stopIfTrue="1" operator="lessThan">
      <formula>0</formula>
    </cfRule>
  </conditionalFormatting>
  <conditionalFormatting sqref="AN5:AN7">
    <cfRule type="cellIs" dxfId="493" priority="522" stopIfTrue="1" operator="lessThan">
      <formula>0</formula>
    </cfRule>
  </conditionalFormatting>
  <conditionalFormatting sqref="AU5:AU7">
    <cfRule type="cellIs" dxfId="492" priority="519" stopIfTrue="1" operator="lessThan">
      <formula>0</formula>
    </cfRule>
  </conditionalFormatting>
  <conditionalFormatting sqref="D9">
    <cfRule type="cellIs" dxfId="491" priority="518" stopIfTrue="1" operator="lessThan">
      <formula>0</formula>
    </cfRule>
  </conditionalFormatting>
  <conditionalFormatting sqref="D11:D12 D14:D20">
    <cfRule type="cellIs" dxfId="490" priority="517" stopIfTrue="1" operator="lessThan">
      <formula>0</formula>
    </cfRule>
  </conditionalFormatting>
  <conditionalFormatting sqref="E10:I10">
    <cfRule type="cellIs" dxfId="489" priority="516" stopIfTrue="1" operator="lessThan">
      <formula>0</formula>
    </cfRule>
  </conditionalFormatting>
  <conditionalFormatting sqref="E11:I11">
    <cfRule type="cellIs" dxfId="488" priority="515" stopIfTrue="1" operator="lessThan">
      <formula>0</formula>
    </cfRule>
  </conditionalFormatting>
  <conditionalFormatting sqref="E14:I16">
    <cfRule type="cellIs" dxfId="487" priority="514" stopIfTrue="1" operator="lessThan">
      <formula>0</formula>
    </cfRule>
  </conditionalFormatting>
  <conditionalFormatting sqref="E18:I20">
    <cfRule type="cellIs" dxfId="486" priority="513" stopIfTrue="1" operator="lessThan">
      <formula>0</formula>
    </cfRule>
  </conditionalFormatting>
  <conditionalFormatting sqref="H17">
    <cfRule type="cellIs" dxfId="485" priority="512" stopIfTrue="1" operator="lessThan">
      <formula>0</formula>
    </cfRule>
  </conditionalFormatting>
  <conditionalFormatting sqref="D30">
    <cfRule type="cellIs" dxfId="484" priority="508" stopIfTrue="1" operator="lessThan">
      <formula>0</formula>
    </cfRule>
  </conditionalFormatting>
  <conditionalFormatting sqref="D32">
    <cfRule type="cellIs" dxfId="483" priority="507" stopIfTrue="1" operator="lessThan">
      <formula>0</formula>
    </cfRule>
  </conditionalFormatting>
  <conditionalFormatting sqref="AU57">
    <cfRule type="cellIs" dxfId="482" priority="58" stopIfTrue="1" operator="lessThan">
      <formula>0</formula>
    </cfRule>
  </conditionalFormatting>
  <conditionalFormatting sqref="D34">
    <cfRule type="cellIs" dxfId="481" priority="506" stopIfTrue="1" operator="lessThan">
      <formula>0</formula>
    </cfRule>
  </conditionalFormatting>
  <conditionalFormatting sqref="D38">
    <cfRule type="cellIs" dxfId="480" priority="505" stopIfTrue="1" operator="lessThan">
      <formula>0</formula>
    </cfRule>
  </conditionalFormatting>
  <conditionalFormatting sqref="D41">
    <cfRule type="cellIs" dxfId="479" priority="504" stopIfTrue="1" operator="lessThan">
      <formula>0</formula>
    </cfRule>
  </conditionalFormatting>
  <conditionalFormatting sqref="D43">
    <cfRule type="cellIs" dxfId="478" priority="503" stopIfTrue="1" operator="lessThan">
      <formula>0</formula>
    </cfRule>
  </conditionalFormatting>
  <conditionalFormatting sqref="D50">
    <cfRule type="cellIs" dxfId="477" priority="501" stopIfTrue="1" operator="lessThan">
      <formula>0</formula>
    </cfRule>
  </conditionalFormatting>
  <conditionalFormatting sqref="F24:H24">
    <cfRule type="cellIs" dxfId="476" priority="499" stopIfTrue="1" operator="lessThan">
      <formula>0</formula>
    </cfRule>
  </conditionalFormatting>
  <conditionalFormatting sqref="F27:H27">
    <cfRule type="cellIs" dxfId="475" priority="498" stopIfTrue="1" operator="lessThan">
      <formula>0</formula>
    </cfRule>
  </conditionalFormatting>
  <conditionalFormatting sqref="E31:I31">
    <cfRule type="cellIs" dxfId="474" priority="497" stopIfTrue="1" operator="lessThan">
      <formula>0</formula>
    </cfRule>
  </conditionalFormatting>
  <conditionalFormatting sqref="E35:I35">
    <cfRule type="cellIs" dxfId="473" priority="496" stopIfTrue="1" operator="lessThan">
      <formula>0</formula>
    </cfRule>
  </conditionalFormatting>
  <conditionalFormatting sqref="E39:I39">
    <cfRule type="cellIs" dxfId="472" priority="495" stopIfTrue="1" operator="lessThan">
      <formula>0</formula>
    </cfRule>
  </conditionalFormatting>
  <conditionalFormatting sqref="E42:I42">
    <cfRule type="cellIs" dxfId="471" priority="494" stopIfTrue="1" operator="lessThan">
      <formula>0</formula>
    </cfRule>
  </conditionalFormatting>
  <conditionalFormatting sqref="D36">
    <cfRule type="cellIs" dxfId="470" priority="493" stopIfTrue="1" operator="lessThan">
      <formula>0</formula>
    </cfRule>
  </conditionalFormatting>
  <conditionalFormatting sqref="E36:I36">
    <cfRule type="cellIs" dxfId="469" priority="492" stopIfTrue="1" operator="lessThan">
      <formula>0</formula>
    </cfRule>
  </conditionalFormatting>
  <conditionalFormatting sqref="F45:I45">
    <cfRule type="cellIs" dxfId="468" priority="490" stopIfTrue="1" operator="lessThan">
      <formula>0</formula>
    </cfRule>
  </conditionalFormatting>
  <conditionalFormatting sqref="F46:I46">
    <cfRule type="cellIs" dxfId="467" priority="488" stopIfTrue="1" operator="lessThan">
      <formula>0</formula>
    </cfRule>
  </conditionalFormatting>
  <conditionalFormatting sqref="D49">
    <cfRule type="cellIs" dxfId="466" priority="487" stopIfTrue="1" operator="lessThan">
      <formula>0</formula>
    </cfRule>
  </conditionalFormatting>
  <conditionalFormatting sqref="E49:I49">
    <cfRule type="cellIs" dxfId="465" priority="486" stopIfTrue="1" operator="lessThan">
      <formula>0</formula>
    </cfRule>
  </conditionalFormatting>
  <conditionalFormatting sqref="D51">
    <cfRule type="cellIs" dxfId="464" priority="485" stopIfTrue="1" operator="lessThan">
      <formula>0</formula>
    </cfRule>
  </conditionalFormatting>
  <conditionalFormatting sqref="E51:I51">
    <cfRule type="cellIs" dxfId="463" priority="484" stopIfTrue="1" operator="lessThan">
      <formula>0</formula>
    </cfRule>
  </conditionalFormatting>
  <conditionalFormatting sqref="D52">
    <cfRule type="cellIs" dxfId="462" priority="483" stopIfTrue="1" operator="lessThan">
      <formula>0</formula>
    </cfRule>
  </conditionalFormatting>
  <conditionalFormatting sqref="E52:I52">
    <cfRule type="cellIs" dxfId="461" priority="482" stopIfTrue="1" operator="lessThan">
      <formula>0</formula>
    </cfRule>
  </conditionalFormatting>
  <conditionalFormatting sqref="D53">
    <cfRule type="cellIs" dxfId="460" priority="481" stopIfTrue="1" operator="lessThan">
      <formula>0</formula>
    </cfRule>
  </conditionalFormatting>
  <conditionalFormatting sqref="E53:I53">
    <cfRule type="cellIs" dxfId="459" priority="480" stopIfTrue="1" operator="lessThan">
      <formula>0</formula>
    </cfRule>
  </conditionalFormatting>
  <conditionalFormatting sqref="D56">
    <cfRule type="cellIs" dxfId="458" priority="479" stopIfTrue="1" operator="lessThan">
      <formula>0</formula>
    </cfRule>
  </conditionalFormatting>
  <conditionalFormatting sqref="E56:I56">
    <cfRule type="cellIs" dxfId="457" priority="478" stopIfTrue="1" operator="lessThan">
      <formula>0</formula>
    </cfRule>
  </conditionalFormatting>
  <conditionalFormatting sqref="D57">
    <cfRule type="cellIs" dxfId="456" priority="477" stopIfTrue="1" operator="lessThan">
      <formula>0</formula>
    </cfRule>
  </conditionalFormatting>
  <conditionalFormatting sqref="E57:I57">
    <cfRule type="cellIs" dxfId="455" priority="476" stopIfTrue="1" operator="lessThan">
      <formula>0</formula>
    </cfRule>
  </conditionalFormatting>
  <conditionalFormatting sqref="D58">
    <cfRule type="cellIs" dxfId="454" priority="475" stopIfTrue="1" operator="lessThan">
      <formula>0</formula>
    </cfRule>
  </conditionalFormatting>
  <conditionalFormatting sqref="E58:H58">
    <cfRule type="cellIs" dxfId="453" priority="474" stopIfTrue="1" operator="lessThan">
      <formula>0</formula>
    </cfRule>
  </conditionalFormatting>
  <conditionalFormatting sqref="J9">
    <cfRule type="cellIs" dxfId="452" priority="473" stopIfTrue="1" operator="lessThan">
      <formula>0</formula>
    </cfRule>
  </conditionalFormatting>
  <conditionalFormatting sqref="J11:J12 J14">
    <cfRule type="cellIs" dxfId="451" priority="472" stopIfTrue="1" operator="lessThan">
      <formula>0</formula>
    </cfRule>
  </conditionalFormatting>
  <conditionalFormatting sqref="K10:O10">
    <cfRule type="cellIs" dxfId="450" priority="471" stopIfTrue="1" operator="lessThan">
      <formula>0</formula>
    </cfRule>
  </conditionalFormatting>
  <conditionalFormatting sqref="K11:O11">
    <cfRule type="cellIs" dxfId="449" priority="470" stopIfTrue="1" operator="lessThan">
      <formula>0</formula>
    </cfRule>
  </conditionalFormatting>
  <conditionalFormatting sqref="K14:O14 L13:O13">
    <cfRule type="cellIs" dxfId="448" priority="469" stopIfTrue="1" operator="lessThan">
      <formula>0</formula>
    </cfRule>
  </conditionalFormatting>
  <conditionalFormatting sqref="J16:J19">
    <cfRule type="cellIs" dxfId="447" priority="468" stopIfTrue="1" operator="lessThan">
      <formula>0</formula>
    </cfRule>
  </conditionalFormatting>
  <conditionalFormatting sqref="K16:O16">
    <cfRule type="cellIs" dxfId="446" priority="467" stopIfTrue="1" operator="lessThan">
      <formula>0</formula>
    </cfRule>
  </conditionalFormatting>
  <conditionalFormatting sqref="K18:O19">
    <cfRule type="cellIs" dxfId="445" priority="466" stopIfTrue="1" operator="lessThan">
      <formula>0</formula>
    </cfRule>
  </conditionalFormatting>
  <conditionalFormatting sqref="L17:N17">
    <cfRule type="cellIs" dxfId="444" priority="465" stopIfTrue="1" operator="lessThan">
      <formula>0</formula>
    </cfRule>
  </conditionalFormatting>
  <conditionalFormatting sqref="P9">
    <cfRule type="cellIs" dxfId="443" priority="464" stopIfTrue="1" operator="lessThan">
      <formula>0</formula>
    </cfRule>
  </conditionalFormatting>
  <conditionalFormatting sqref="P11:P14">
    <cfRule type="cellIs" dxfId="442" priority="463" stopIfTrue="1" operator="lessThan">
      <formula>0</formula>
    </cfRule>
  </conditionalFormatting>
  <conditionalFormatting sqref="Q10:T10">
    <cfRule type="cellIs" dxfId="441" priority="462" stopIfTrue="1" operator="lessThan">
      <formula>0</formula>
    </cfRule>
  </conditionalFormatting>
  <conditionalFormatting sqref="Q11:T11">
    <cfRule type="cellIs" dxfId="440" priority="461" stopIfTrue="1" operator="lessThan">
      <formula>0</formula>
    </cfRule>
  </conditionalFormatting>
  <conditionalFormatting sqref="Q13:T14">
    <cfRule type="cellIs" dxfId="439" priority="460" stopIfTrue="1" operator="lessThan">
      <formula>0</formula>
    </cfRule>
  </conditionalFormatting>
  <conditionalFormatting sqref="P18:P19">
    <cfRule type="cellIs" dxfId="438" priority="459" stopIfTrue="1" operator="lessThan">
      <formula>0</formula>
    </cfRule>
  </conditionalFormatting>
  <conditionalFormatting sqref="Q18:T19">
    <cfRule type="cellIs" dxfId="437" priority="458" stopIfTrue="1" operator="lessThan">
      <formula>0</formula>
    </cfRule>
  </conditionalFormatting>
  <conditionalFormatting sqref="U9">
    <cfRule type="cellIs" dxfId="436" priority="457" stopIfTrue="1" operator="lessThan">
      <formula>0</formula>
    </cfRule>
  </conditionalFormatting>
  <conditionalFormatting sqref="U11:U14">
    <cfRule type="cellIs" dxfId="435" priority="456" stopIfTrue="1" operator="lessThan">
      <formula>0</formula>
    </cfRule>
  </conditionalFormatting>
  <conditionalFormatting sqref="V10">
    <cfRule type="cellIs" dxfId="434" priority="455" stopIfTrue="1" operator="lessThan">
      <formula>0</formula>
    </cfRule>
  </conditionalFormatting>
  <conditionalFormatting sqref="V11">
    <cfRule type="cellIs" dxfId="433" priority="454" stopIfTrue="1" operator="lessThan">
      <formula>0</formula>
    </cfRule>
  </conditionalFormatting>
  <conditionalFormatting sqref="V13:V14">
    <cfRule type="cellIs" dxfId="432" priority="453" stopIfTrue="1" operator="lessThan">
      <formula>0</formula>
    </cfRule>
  </conditionalFormatting>
  <conditionalFormatting sqref="U18:U19">
    <cfRule type="cellIs" dxfId="431" priority="452" stopIfTrue="1" operator="lessThan">
      <formula>0</formula>
    </cfRule>
  </conditionalFormatting>
  <conditionalFormatting sqref="V18:V19">
    <cfRule type="cellIs" dxfId="430" priority="451" stopIfTrue="1" operator="lessThan">
      <formula>0</formula>
    </cfRule>
  </conditionalFormatting>
  <conditionalFormatting sqref="W10">
    <cfRule type="cellIs" dxfId="429" priority="450" stopIfTrue="1" operator="lessThan">
      <formula>0</formula>
    </cfRule>
  </conditionalFormatting>
  <conditionalFormatting sqref="W11">
    <cfRule type="cellIs" dxfId="428" priority="449" stopIfTrue="1" operator="lessThan">
      <formula>0</formula>
    </cfRule>
  </conditionalFormatting>
  <conditionalFormatting sqref="W13:W14">
    <cfRule type="cellIs" dxfId="427" priority="448" stopIfTrue="1" operator="lessThan">
      <formula>0</formula>
    </cfRule>
  </conditionalFormatting>
  <conditionalFormatting sqref="W18:W19">
    <cfRule type="cellIs" dxfId="426" priority="447" stopIfTrue="1" operator="lessThan">
      <formula>0</formula>
    </cfRule>
  </conditionalFormatting>
  <conditionalFormatting sqref="X9">
    <cfRule type="cellIs" dxfId="425" priority="446" stopIfTrue="1" operator="lessThan">
      <formula>0</formula>
    </cfRule>
  </conditionalFormatting>
  <conditionalFormatting sqref="X11:X14">
    <cfRule type="cellIs" dxfId="424" priority="445" stopIfTrue="1" operator="lessThan">
      <formula>0</formula>
    </cfRule>
  </conditionalFormatting>
  <conditionalFormatting sqref="Y10">
    <cfRule type="cellIs" dxfId="423" priority="444" stopIfTrue="1" operator="lessThan">
      <formula>0</formula>
    </cfRule>
  </conditionalFormatting>
  <conditionalFormatting sqref="Y11">
    <cfRule type="cellIs" dxfId="422" priority="443" stopIfTrue="1" operator="lessThan">
      <formula>0</formula>
    </cfRule>
  </conditionalFormatting>
  <conditionalFormatting sqref="Y13:Y14">
    <cfRule type="cellIs" dxfId="421" priority="442" stopIfTrue="1" operator="lessThan">
      <formula>0</formula>
    </cfRule>
  </conditionalFormatting>
  <conditionalFormatting sqref="X18:X19">
    <cfRule type="cellIs" dxfId="420" priority="441" stopIfTrue="1" operator="lessThan">
      <formula>0</formula>
    </cfRule>
  </conditionalFormatting>
  <conditionalFormatting sqref="Y18:Y19">
    <cfRule type="cellIs" dxfId="419" priority="440" stopIfTrue="1" operator="lessThan">
      <formula>0</formula>
    </cfRule>
  </conditionalFormatting>
  <conditionalFormatting sqref="Z10">
    <cfRule type="cellIs" dxfId="418" priority="439" stopIfTrue="1" operator="lessThan">
      <formula>0</formula>
    </cfRule>
  </conditionalFormatting>
  <conditionalFormatting sqref="Z11">
    <cfRule type="cellIs" dxfId="417" priority="438" stopIfTrue="1" operator="lessThan">
      <formula>0</formula>
    </cfRule>
  </conditionalFormatting>
  <conditionalFormatting sqref="Z13:Z14">
    <cfRule type="cellIs" dxfId="416" priority="437" stopIfTrue="1" operator="lessThan">
      <formula>0</formula>
    </cfRule>
  </conditionalFormatting>
  <conditionalFormatting sqref="AA9">
    <cfRule type="cellIs" dxfId="415" priority="435" stopIfTrue="1" operator="lessThan">
      <formula>0</formula>
    </cfRule>
  </conditionalFormatting>
  <conditionalFormatting sqref="AB10">
    <cfRule type="cellIs" dxfId="414" priority="433" stopIfTrue="1" operator="lessThan">
      <formula>0</formula>
    </cfRule>
  </conditionalFormatting>
  <conditionalFormatting sqref="AB11">
    <cfRule type="cellIs" dxfId="413" priority="432" stopIfTrue="1" operator="lessThan">
      <formula>0</formula>
    </cfRule>
  </conditionalFormatting>
  <conditionalFormatting sqref="AB13:AB14">
    <cfRule type="cellIs" dxfId="412" priority="431" stopIfTrue="1" operator="lessThan">
      <formula>0</formula>
    </cfRule>
  </conditionalFormatting>
  <conditionalFormatting sqref="AA18:AA19">
    <cfRule type="cellIs" dxfId="411" priority="430" stopIfTrue="1" operator="lessThan">
      <formula>0</formula>
    </cfRule>
  </conditionalFormatting>
  <conditionalFormatting sqref="AB18:AB19">
    <cfRule type="cellIs" dxfId="410" priority="429" stopIfTrue="1" operator="lessThan">
      <formula>0</formula>
    </cfRule>
  </conditionalFormatting>
  <conditionalFormatting sqref="AC10">
    <cfRule type="cellIs" dxfId="409" priority="428" stopIfTrue="1" operator="lessThan">
      <formula>0</formula>
    </cfRule>
  </conditionalFormatting>
  <conditionalFormatting sqref="AC11">
    <cfRule type="cellIs" dxfId="408" priority="427" stopIfTrue="1" operator="lessThan">
      <formula>0</formula>
    </cfRule>
  </conditionalFormatting>
  <conditionalFormatting sqref="AC13:AC14">
    <cfRule type="cellIs" dxfId="407" priority="426" stopIfTrue="1" operator="lessThan">
      <formula>0</formula>
    </cfRule>
  </conditionalFormatting>
  <conditionalFormatting sqref="AC18:AC19">
    <cfRule type="cellIs" dxfId="406" priority="425" stopIfTrue="1" operator="lessThan">
      <formula>0</formula>
    </cfRule>
  </conditionalFormatting>
  <conditionalFormatting sqref="AD9">
    <cfRule type="cellIs" dxfId="405" priority="424" stopIfTrue="1" operator="lessThan">
      <formula>0</formula>
    </cfRule>
  </conditionalFormatting>
  <conditionalFormatting sqref="AD11:AD14">
    <cfRule type="cellIs" dxfId="404" priority="423" stopIfTrue="1" operator="lessThan">
      <formula>0</formula>
    </cfRule>
  </conditionalFormatting>
  <conditionalFormatting sqref="AD18:AD19">
    <cfRule type="cellIs" dxfId="403" priority="422" stopIfTrue="1" operator="lessThan">
      <formula>0</formula>
    </cfRule>
  </conditionalFormatting>
  <conditionalFormatting sqref="AS57">
    <cfRule type="cellIs" dxfId="402" priority="60" stopIfTrue="1" operator="lessThan">
      <formula>0</formula>
    </cfRule>
  </conditionalFormatting>
  <conditionalFormatting sqref="AT57">
    <cfRule type="cellIs" dxfId="401" priority="59" stopIfTrue="1" operator="lessThan">
      <formula>0</formula>
    </cfRule>
  </conditionalFormatting>
  <conditionalFormatting sqref="AI9">
    <cfRule type="cellIs" dxfId="400" priority="418" stopIfTrue="1" operator="lessThan">
      <formula>0</formula>
    </cfRule>
  </conditionalFormatting>
  <conditionalFormatting sqref="AI11:AI14">
    <cfRule type="cellIs" dxfId="399" priority="417" stopIfTrue="1" operator="lessThan">
      <formula>0</formula>
    </cfRule>
  </conditionalFormatting>
  <conditionalFormatting sqref="AI18:AI19">
    <cfRule type="cellIs" dxfId="398" priority="416" stopIfTrue="1" operator="lessThan">
      <formula>0</formula>
    </cfRule>
  </conditionalFormatting>
  <conditionalFormatting sqref="AN9">
    <cfRule type="cellIs" dxfId="397" priority="415" stopIfTrue="1" operator="lessThan">
      <formula>0</formula>
    </cfRule>
  </conditionalFormatting>
  <conditionalFormatting sqref="AN11:AN14">
    <cfRule type="cellIs" dxfId="396" priority="414" stopIfTrue="1" operator="lessThan">
      <formula>0</formula>
    </cfRule>
  </conditionalFormatting>
  <conditionalFormatting sqref="AO10:AR10">
    <cfRule type="cellIs" dxfId="395" priority="413" stopIfTrue="1" operator="lessThan">
      <formula>0</formula>
    </cfRule>
  </conditionalFormatting>
  <conditionalFormatting sqref="AO11:AR11">
    <cfRule type="cellIs" dxfId="394" priority="412" stopIfTrue="1" operator="lessThan">
      <formula>0</formula>
    </cfRule>
  </conditionalFormatting>
  <conditionalFormatting sqref="AO13:AR14">
    <cfRule type="cellIs" dxfId="393" priority="411" stopIfTrue="1" operator="lessThan">
      <formula>0</formula>
    </cfRule>
  </conditionalFormatting>
  <conditionalFormatting sqref="AO18:AR19">
    <cfRule type="cellIs" dxfId="392" priority="409" stopIfTrue="1" operator="lessThan">
      <formula>0</formula>
    </cfRule>
  </conditionalFormatting>
  <conditionalFormatting sqref="AS9">
    <cfRule type="cellIs" dxfId="391" priority="408" stopIfTrue="1" operator="lessThan">
      <formula>0</formula>
    </cfRule>
  </conditionalFormatting>
  <conditionalFormatting sqref="AT9">
    <cfRule type="cellIs" dxfId="390" priority="407" stopIfTrue="1" operator="lessThan">
      <formula>0</formula>
    </cfRule>
  </conditionalFormatting>
  <conditionalFormatting sqref="AU9">
    <cfRule type="cellIs" dxfId="389" priority="406" stopIfTrue="1" operator="lessThan">
      <formula>0</formula>
    </cfRule>
  </conditionalFormatting>
  <conditionalFormatting sqref="AS11">
    <cfRule type="cellIs" dxfId="388" priority="405" stopIfTrue="1" operator="lessThan">
      <formula>0</formula>
    </cfRule>
  </conditionalFormatting>
  <conditionalFormatting sqref="AT11">
    <cfRule type="cellIs" dxfId="387" priority="404" stopIfTrue="1" operator="lessThan">
      <formula>0</formula>
    </cfRule>
  </conditionalFormatting>
  <conditionalFormatting sqref="AU11">
    <cfRule type="cellIs" dxfId="386" priority="403" stopIfTrue="1" operator="lessThan">
      <formula>0</formula>
    </cfRule>
  </conditionalFormatting>
  <conditionalFormatting sqref="AT12">
    <cfRule type="cellIs" dxfId="385" priority="401" stopIfTrue="1" operator="lessThan">
      <formula>0</formula>
    </cfRule>
  </conditionalFormatting>
  <conditionalFormatting sqref="AU12">
    <cfRule type="cellIs" dxfId="384" priority="400" stopIfTrue="1" operator="lessThan">
      <formula>0</formula>
    </cfRule>
  </conditionalFormatting>
  <conditionalFormatting sqref="AS13">
    <cfRule type="cellIs" dxfId="383" priority="399" stopIfTrue="1" operator="lessThan">
      <formula>0</formula>
    </cfRule>
  </conditionalFormatting>
  <conditionalFormatting sqref="AT13">
    <cfRule type="cellIs" dxfId="382" priority="398" stopIfTrue="1" operator="lessThan">
      <formula>0</formula>
    </cfRule>
  </conditionalFormatting>
  <conditionalFormatting sqref="AU13">
    <cfRule type="cellIs" dxfId="381" priority="397" stopIfTrue="1" operator="lessThan">
      <formula>0</formula>
    </cfRule>
  </conditionalFormatting>
  <conditionalFormatting sqref="AS14">
    <cfRule type="cellIs" dxfId="380" priority="396" stopIfTrue="1" operator="lessThan">
      <formula>0</formula>
    </cfRule>
  </conditionalFormatting>
  <conditionalFormatting sqref="AT14">
    <cfRule type="cellIs" dxfId="379" priority="395" stopIfTrue="1" operator="lessThan">
      <formula>0</formula>
    </cfRule>
  </conditionalFormatting>
  <conditionalFormatting sqref="AU14">
    <cfRule type="cellIs" dxfId="378" priority="394" stopIfTrue="1" operator="lessThan">
      <formula>0</formula>
    </cfRule>
  </conditionalFormatting>
  <conditionalFormatting sqref="AS18">
    <cfRule type="cellIs" dxfId="377" priority="393" stopIfTrue="1" operator="lessThan">
      <formula>0</formula>
    </cfRule>
  </conditionalFormatting>
  <conditionalFormatting sqref="AT18">
    <cfRule type="cellIs" dxfId="376" priority="392" stopIfTrue="1" operator="lessThan">
      <formula>0</formula>
    </cfRule>
  </conditionalFormatting>
  <conditionalFormatting sqref="AU18">
    <cfRule type="cellIs" dxfId="375" priority="391" stopIfTrue="1" operator="lessThan">
      <formula>0</formula>
    </cfRule>
  </conditionalFormatting>
  <conditionalFormatting sqref="AS19">
    <cfRule type="cellIs" dxfId="374" priority="390" stopIfTrue="1" operator="lessThan">
      <formula>0</formula>
    </cfRule>
  </conditionalFormatting>
  <conditionalFormatting sqref="AT19">
    <cfRule type="cellIs" dxfId="373" priority="389" stopIfTrue="1" operator="lessThan">
      <formula>0</formula>
    </cfRule>
  </conditionalFormatting>
  <conditionalFormatting sqref="AU19">
    <cfRule type="cellIs" dxfId="372" priority="388" stopIfTrue="1" operator="lessThan">
      <formula>0</formula>
    </cfRule>
  </conditionalFormatting>
  <conditionalFormatting sqref="J30">
    <cfRule type="cellIs" dxfId="371" priority="384" stopIfTrue="1" operator="lessThan">
      <formula>0</formula>
    </cfRule>
  </conditionalFormatting>
  <conditionalFormatting sqref="J32">
    <cfRule type="cellIs" dxfId="370" priority="383" stopIfTrue="1" operator="lessThan">
      <formula>0</formula>
    </cfRule>
  </conditionalFormatting>
  <conditionalFormatting sqref="J34">
    <cfRule type="cellIs" dxfId="369" priority="382" stopIfTrue="1" operator="lessThan">
      <formula>0</formula>
    </cfRule>
  </conditionalFormatting>
  <conditionalFormatting sqref="J38">
    <cfRule type="cellIs" dxfId="368" priority="381" stopIfTrue="1" operator="lessThan">
      <formula>0</formula>
    </cfRule>
  </conditionalFormatting>
  <conditionalFormatting sqref="J41">
    <cfRule type="cellIs" dxfId="367" priority="380" stopIfTrue="1" operator="lessThan">
      <formula>0</formula>
    </cfRule>
  </conditionalFormatting>
  <conditionalFormatting sqref="J43">
    <cfRule type="cellIs" dxfId="366" priority="379" stopIfTrue="1" operator="lessThan">
      <formula>0</formula>
    </cfRule>
  </conditionalFormatting>
  <conditionalFormatting sqref="J50">
    <cfRule type="cellIs" dxfId="365" priority="377" stopIfTrue="1" operator="lessThan">
      <formula>0</formula>
    </cfRule>
  </conditionalFormatting>
  <conditionalFormatting sqref="L24:O24">
    <cfRule type="cellIs" dxfId="364" priority="376" stopIfTrue="1" operator="lessThan">
      <formula>0</formula>
    </cfRule>
  </conditionalFormatting>
  <conditionalFormatting sqref="L27:O27">
    <cfRule type="cellIs" dxfId="363" priority="375" stopIfTrue="1" operator="lessThan">
      <formula>0</formula>
    </cfRule>
  </conditionalFormatting>
  <conditionalFormatting sqref="K31:O31">
    <cfRule type="cellIs" dxfId="362" priority="374" stopIfTrue="1" operator="lessThan">
      <formula>0</formula>
    </cfRule>
  </conditionalFormatting>
  <conditionalFormatting sqref="K35:O35">
    <cfRule type="cellIs" dxfId="361" priority="373" stopIfTrue="1" operator="lessThan">
      <formula>0</formula>
    </cfRule>
  </conditionalFormatting>
  <conditionalFormatting sqref="K39:O39">
    <cfRule type="cellIs" dxfId="360" priority="372" stopIfTrue="1" operator="lessThan">
      <formula>0</formula>
    </cfRule>
  </conditionalFormatting>
  <conditionalFormatting sqref="K42:O42">
    <cfRule type="cellIs" dxfId="359" priority="371" stopIfTrue="1" operator="lessThan">
      <formula>0</formula>
    </cfRule>
  </conditionalFormatting>
  <conditionalFormatting sqref="J36">
    <cfRule type="cellIs" dxfId="358" priority="370" stopIfTrue="1" operator="lessThan">
      <formula>0</formula>
    </cfRule>
  </conditionalFormatting>
  <conditionalFormatting sqref="K36:O36">
    <cfRule type="cellIs" dxfId="357" priority="369" stopIfTrue="1" operator="lessThan">
      <formula>0</formula>
    </cfRule>
  </conditionalFormatting>
  <conditionalFormatting sqref="L45:O45">
    <cfRule type="cellIs" dxfId="356" priority="367" stopIfTrue="1" operator="lessThan">
      <formula>0</formula>
    </cfRule>
  </conditionalFormatting>
  <conditionalFormatting sqref="L46:O46">
    <cfRule type="cellIs" dxfId="355" priority="365" stopIfTrue="1" operator="lessThan">
      <formula>0</formula>
    </cfRule>
  </conditionalFormatting>
  <conditionalFormatting sqref="J49">
    <cfRule type="cellIs" dxfId="354" priority="364" stopIfTrue="1" operator="lessThan">
      <formula>0</formula>
    </cfRule>
  </conditionalFormatting>
  <conditionalFormatting sqref="K49:O49">
    <cfRule type="cellIs" dxfId="353" priority="363" stopIfTrue="1" operator="lessThan">
      <formula>0</formula>
    </cfRule>
  </conditionalFormatting>
  <conditionalFormatting sqref="J51">
    <cfRule type="cellIs" dxfId="352" priority="362" stopIfTrue="1" operator="lessThan">
      <formula>0</formula>
    </cfRule>
  </conditionalFormatting>
  <conditionalFormatting sqref="K51:O51">
    <cfRule type="cellIs" dxfId="351" priority="361" stopIfTrue="1" operator="lessThan">
      <formula>0</formula>
    </cfRule>
  </conditionalFormatting>
  <conditionalFormatting sqref="J52">
    <cfRule type="cellIs" dxfId="350" priority="360" stopIfTrue="1" operator="lessThan">
      <formula>0</formula>
    </cfRule>
  </conditionalFormatting>
  <conditionalFormatting sqref="K52:O52">
    <cfRule type="cellIs" dxfId="349" priority="359" stopIfTrue="1" operator="lessThan">
      <formula>0</formula>
    </cfRule>
  </conditionalFormatting>
  <conditionalFormatting sqref="J53">
    <cfRule type="cellIs" dxfId="348" priority="358" stopIfTrue="1" operator="lessThan">
      <formula>0</formula>
    </cfRule>
  </conditionalFormatting>
  <conditionalFormatting sqref="K53:O53">
    <cfRule type="cellIs" dxfId="347" priority="357" stopIfTrue="1" operator="lessThan">
      <formula>0</formula>
    </cfRule>
  </conditionalFormatting>
  <conditionalFormatting sqref="P30">
    <cfRule type="cellIs" dxfId="346" priority="353" stopIfTrue="1" operator="lessThan">
      <formula>0</formula>
    </cfRule>
  </conditionalFormatting>
  <conditionalFormatting sqref="P32">
    <cfRule type="cellIs" dxfId="345" priority="352" stopIfTrue="1" operator="lessThan">
      <formula>0</formula>
    </cfRule>
  </conditionalFormatting>
  <conditionalFormatting sqref="P34">
    <cfRule type="cellIs" dxfId="344" priority="351" stopIfTrue="1" operator="lessThan">
      <formula>0</formula>
    </cfRule>
  </conditionalFormatting>
  <conditionalFormatting sqref="P38">
    <cfRule type="cellIs" dxfId="343" priority="350" stopIfTrue="1" operator="lessThan">
      <formula>0</formula>
    </cfRule>
  </conditionalFormatting>
  <conditionalFormatting sqref="P41">
    <cfRule type="cellIs" dxfId="342" priority="349" stopIfTrue="1" operator="lessThan">
      <formula>0</formula>
    </cfRule>
  </conditionalFormatting>
  <conditionalFormatting sqref="P43">
    <cfRule type="cellIs" dxfId="341" priority="348" stopIfTrue="1" operator="lessThan">
      <formula>0</formula>
    </cfRule>
  </conditionalFormatting>
  <conditionalFormatting sqref="P50">
    <cfRule type="cellIs" dxfId="340" priority="346" stopIfTrue="1" operator="lessThan">
      <formula>0</formula>
    </cfRule>
  </conditionalFormatting>
  <conditionalFormatting sqref="R24:T24">
    <cfRule type="cellIs" dxfId="339" priority="345" stopIfTrue="1" operator="lessThan">
      <formula>0</formula>
    </cfRule>
  </conditionalFormatting>
  <conditionalFormatting sqref="R27:T27">
    <cfRule type="cellIs" dxfId="338" priority="344" stopIfTrue="1" operator="lessThan">
      <formula>0</formula>
    </cfRule>
  </conditionalFormatting>
  <conditionalFormatting sqref="Q31:T31">
    <cfRule type="cellIs" dxfId="337" priority="343" stopIfTrue="1" operator="lessThan">
      <formula>0</formula>
    </cfRule>
  </conditionalFormatting>
  <conditionalFormatting sqref="Q35:T35">
    <cfRule type="cellIs" dxfId="336" priority="342" stopIfTrue="1" operator="lessThan">
      <formula>0</formula>
    </cfRule>
  </conditionalFormatting>
  <conditionalFormatting sqref="Q39:T39">
    <cfRule type="cellIs" dxfId="335" priority="341" stopIfTrue="1" operator="lessThan">
      <formula>0</formula>
    </cfRule>
  </conditionalFormatting>
  <conditionalFormatting sqref="Q42:T42">
    <cfRule type="cellIs" dxfId="334" priority="340" stopIfTrue="1" operator="lessThan">
      <formula>0</formula>
    </cfRule>
  </conditionalFormatting>
  <conditionalFormatting sqref="P36">
    <cfRule type="cellIs" dxfId="333" priority="339" stopIfTrue="1" operator="lessThan">
      <formula>0</formula>
    </cfRule>
  </conditionalFormatting>
  <conditionalFormatting sqref="Q36:T36">
    <cfRule type="cellIs" dxfId="332" priority="338" stopIfTrue="1" operator="lessThan">
      <formula>0</formula>
    </cfRule>
  </conditionalFormatting>
  <conditionalFormatting sqref="R45:T45">
    <cfRule type="cellIs" dxfId="331" priority="336" stopIfTrue="1" operator="lessThan">
      <formula>0</formula>
    </cfRule>
  </conditionalFormatting>
  <conditionalFormatting sqref="R46:T46">
    <cfRule type="cellIs" dxfId="330" priority="334" stopIfTrue="1" operator="lessThan">
      <formula>0</formula>
    </cfRule>
  </conditionalFormatting>
  <conditionalFormatting sqref="P49">
    <cfRule type="cellIs" dxfId="329" priority="333" stopIfTrue="1" operator="lessThan">
      <formula>0</formula>
    </cfRule>
  </conditionalFormatting>
  <conditionalFormatting sqref="Q49:T49">
    <cfRule type="cellIs" dxfId="328" priority="332" stopIfTrue="1" operator="lessThan">
      <formula>0</formula>
    </cfRule>
  </conditionalFormatting>
  <conditionalFormatting sqref="P51">
    <cfRule type="cellIs" dxfId="327" priority="331" stopIfTrue="1" operator="lessThan">
      <formula>0</formula>
    </cfRule>
  </conditionalFormatting>
  <conditionalFormatting sqref="Q51:T51">
    <cfRule type="cellIs" dxfId="326" priority="330" stopIfTrue="1" operator="lessThan">
      <formula>0</formula>
    </cfRule>
  </conditionalFormatting>
  <conditionalFormatting sqref="P52">
    <cfRule type="cellIs" dxfId="325" priority="329" stopIfTrue="1" operator="lessThan">
      <formula>0</formula>
    </cfRule>
  </conditionalFormatting>
  <conditionalFormatting sqref="Q52:T52">
    <cfRule type="cellIs" dxfId="324" priority="328" stopIfTrue="1" operator="lessThan">
      <formula>0</formula>
    </cfRule>
  </conditionalFormatting>
  <conditionalFormatting sqref="P53">
    <cfRule type="cellIs" dxfId="323" priority="327" stopIfTrue="1" operator="lessThan">
      <formula>0</formula>
    </cfRule>
  </conditionalFormatting>
  <conditionalFormatting sqref="Q53:T53">
    <cfRule type="cellIs" dxfId="322" priority="326" stopIfTrue="1" operator="lessThan">
      <formula>0</formula>
    </cfRule>
  </conditionalFormatting>
  <conditionalFormatting sqref="U23">
    <cfRule type="cellIs" dxfId="321" priority="325" stopIfTrue="1" operator="lessThan">
      <formula>0</formula>
    </cfRule>
  </conditionalFormatting>
  <conditionalFormatting sqref="U26">
    <cfRule type="cellIs" dxfId="320" priority="324" stopIfTrue="1" operator="lessThan">
      <formula>0</formula>
    </cfRule>
  </conditionalFormatting>
  <conditionalFormatting sqref="U28">
    <cfRule type="cellIs" dxfId="319" priority="323" stopIfTrue="1" operator="lessThan">
      <formula>0</formula>
    </cfRule>
  </conditionalFormatting>
  <conditionalFormatting sqref="U30">
    <cfRule type="cellIs" dxfId="318" priority="322" stopIfTrue="1" operator="lessThan">
      <formula>0</formula>
    </cfRule>
  </conditionalFormatting>
  <conditionalFormatting sqref="U32">
    <cfRule type="cellIs" dxfId="317" priority="321" stopIfTrue="1" operator="lessThan">
      <formula>0</formula>
    </cfRule>
  </conditionalFormatting>
  <conditionalFormatting sqref="U34">
    <cfRule type="cellIs" dxfId="316" priority="320" stopIfTrue="1" operator="lessThan">
      <formula>0</formula>
    </cfRule>
  </conditionalFormatting>
  <conditionalFormatting sqref="U38">
    <cfRule type="cellIs" dxfId="315" priority="319" stopIfTrue="1" operator="lessThan">
      <formula>0</formula>
    </cfRule>
  </conditionalFormatting>
  <conditionalFormatting sqref="U41">
    <cfRule type="cellIs" dxfId="314" priority="318" stopIfTrue="1" operator="lessThan">
      <formula>0</formula>
    </cfRule>
  </conditionalFormatting>
  <conditionalFormatting sqref="U43">
    <cfRule type="cellIs" dxfId="313" priority="317" stopIfTrue="1" operator="lessThan">
      <formula>0</formula>
    </cfRule>
  </conditionalFormatting>
  <conditionalFormatting sqref="U47">
    <cfRule type="cellIs" dxfId="312" priority="316" stopIfTrue="1" operator="lessThan">
      <formula>0</formula>
    </cfRule>
  </conditionalFormatting>
  <conditionalFormatting sqref="U50">
    <cfRule type="cellIs" dxfId="311" priority="315" stopIfTrue="1" operator="lessThan">
      <formula>0</formula>
    </cfRule>
  </conditionalFormatting>
  <conditionalFormatting sqref="V24:W24">
    <cfRule type="cellIs" dxfId="310" priority="314" stopIfTrue="1" operator="lessThan">
      <formula>0</formula>
    </cfRule>
  </conditionalFormatting>
  <conditionalFormatting sqref="V27:W27">
    <cfRule type="cellIs" dxfId="309" priority="313" stopIfTrue="1" operator="lessThan">
      <formula>0</formula>
    </cfRule>
  </conditionalFormatting>
  <conditionalFormatting sqref="V31:W31">
    <cfRule type="cellIs" dxfId="308" priority="312" stopIfTrue="1" operator="lessThan">
      <formula>0</formula>
    </cfRule>
  </conditionalFormatting>
  <conditionalFormatting sqref="V35:W35">
    <cfRule type="cellIs" dxfId="307" priority="311" stopIfTrue="1" operator="lessThan">
      <formula>0</formula>
    </cfRule>
  </conditionalFormatting>
  <conditionalFormatting sqref="V39:W39">
    <cfRule type="cellIs" dxfId="306" priority="310" stopIfTrue="1" operator="lessThan">
      <formula>0</formula>
    </cfRule>
  </conditionalFormatting>
  <conditionalFormatting sqref="V42:W42">
    <cfRule type="cellIs" dxfId="305" priority="309" stopIfTrue="1" operator="lessThan">
      <formula>0</formula>
    </cfRule>
  </conditionalFormatting>
  <conditionalFormatting sqref="U36">
    <cfRule type="cellIs" dxfId="304" priority="308" stopIfTrue="1" operator="lessThan">
      <formula>0</formula>
    </cfRule>
  </conditionalFormatting>
  <conditionalFormatting sqref="V36:W36">
    <cfRule type="cellIs" dxfId="303" priority="307" stopIfTrue="1" operator="lessThan">
      <formula>0</formula>
    </cfRule>
  </conditionalFormatting>
  <conditionalFormatting sqref="U45">
    <cfRule type="cellIs" dxfId="302" priority="306" stopIfTrue="1" operator="lessThan">
      <formula>0</formula>
    </cfRule>
  </conditionalFormatting>
  <conditionalFormatting sqref="V45:W45">
    <cfRule type="cellIs" dxfId="301" priority="305" stopIfTrue="1" operator="lessThan">
      <formula>0</formula>
    </cfRule>
  </conditionalFormatting>
  <conditionalFormatting sqref="U46">
    <cfRule type="cellIs" dxfId="300" priority="304" stopIfTrue="1" operator="lessThan">
      <formula>0</formula>
    </cfRule>
  </conditionalFormatting>
  <conditionalFormatting sqref="V46:W46">
    <cfRule type="cellIs" dxfId="299" priority="303" stopIfTrue="1" operator="lessThan">
      <formula>0</formula>
    </cfRule>
  </conditionalFormatting>
  <conditionalFormatting sqref="U49">
    <cfRule type="cellIs" dxfId="298" priority="302" stopIfTrue="1" operator="lessThan">
      <formula>0</formula>
    </cfRule>
  </conditionalFormatting>
  <conditionalFormatting sqref="V49:W49">
    <cfRule type="cellIs" dxfId="297" priority="301" stopIfTrue="1" operator="lessThan">
      <formula>0</formula>
    </cfRule>
  </conditionalFormatting>
  <conditionalFormatting sqref="U51">
    <cfRule type="cellIs" dxfId="296" priority="300" stopIfTrue="1" operator="lessThan">
      <formula>0</formula>
    </cfRule>
  </conditionalFormatting>
  <conditionalFormatting sqref="V51:W51">
    <cfRule type="cellIs" dxfId="295" priority="299" stopIfTrue="1" operator="lessThan">
      <formula>0</formula>
    </cfRule>
  </conditionalFormatting>
  <conditionalFormatting sqref="U52">
    <cfRule type="cellIs" dxfId="294" priority="298" stopIfTrue="1" operator="lessThan">
      <formula>0</formula>
    </cfRule>
  </conditionalFormatting>
  <conditionalFormatting sqref="V52:W52">
    <cfRule type="cellIs" dxfId="293" priority="297" stopIfTrue="1" operator="lessThan">
      <formula>0</formula>
    </cfRule>
  </conditionalFormatting>
  <conditionalFormatting sqref="U53">
    <cfRule type="cellIs" dxfId="292" priority="296" stopIfTrue="1" operator="lessThan">
      <formula>0</formula>
    </cfRule>
  </conditionalFormatting>
  <conditionalFormatting sqref="V53:W53">
    <cfRule type="cellIs" dxfId="291" priority="295" stopIfTrue="1" operator="lessThan">
      <formula>0</formula>
    </cfRule>
  </conditionalFormatting>
  <conditionalFormatting sqref="X23">
    <cfRule type="cellIs" dxfId="290" priority="294" stopIfTrue="1" operator="lessThan">
      <formula>0</formula>
    </cfRule>
  </conditionalFormatting>
  <conditionalFormatting sqref="X26">
    <cfRule type="cellIs" dxfId="289" priority="293" stopIfTrue="1" operator="lessThan">
      <formula>0</formula>
    </cfRule>
  </conditionalFormatting>
  <conditionalFormatting sqref="X28">
    <cfRule type="cellIs" dxfId="288" priority="292" stopIfTrue="1" operator="lessThan">
      <formula>0</formula>
    </cfRule>
  </conditionalFormatting>
  <conditionalFormatting sqref="X30">
    <cfRule type="cellIs" dxfId="287" priority="291" stopIfTrue="1" operator="lessThan">
      <formula>0</formula>
    </cfRule>
  </conditionalFormatting>
  <conditionalFormatting sqref="X32">
    <cfRule type="cellIs" dxfId="286" priority="290" stopIfTrue="1" operator="lessThan">
      <formula>0</formula>
    </cfRule>
  </conditionalFormatting>
  <conditionalFormatting sqref="X34">
    <cfRule type="cellIs" dxfId="285" priority="289" stopIfTrue="1" operator="lessThan">
      <formula>0</formula>
    </cfRule>
  </conditionalFormatting>
  <conditionalFormatting sqref="X38">
    <cfRule type="cellIs" dxfId="284" priority="288" stopIfTrue="1" operator="lessThan">
      <formula>0</formula>
    </cfRule>
  </conditionalFormatting>
  <conditionalFormatting sqref="X41">
    <cfRule type="cellIs" dxfId="283" priority="287" stopIfTrue="1" operator="lessThan">
      <formula>0</formula>
    </cfRule>
  </conditionalFormatting>
  <conditionalFormatting sqref="X43">
    <cfRule type="cellIs" dxfId="282" priority="286" stopIfTrue="1" operator="lessThan">
      <formula>0</formula>
    </cfRule>
  </conditionalFormatting>
  <conditionalFormatting sqref="X47">
    <cfRule type="cellIs" dxfId="281" priority="285" stopIfTrue="1" operator="lessThan">
      <formula>0</formula>
    </cfRule>
  </conditionalFormatting>
  <conditionalFormatting sqref="X50">
    <cfRule type="cellIs" dxfId="280" priority="284" stopIfTrue="1" operator="lessThan">
      <formula>0</formula>
    </cfRule>
  </conditionalFormatting>
  <conditionalFormatting sqref="Y24:Z24">
    <cfRule type="cellIs" dxfId="279" priority="283" stopIfTrue="1" operator="lessThan">
      <formula>0</formula>
    </cfRule>
  </conditionalFormatting>
  <conditionalFormatting sqref="Y27:Z27">
    <cfRule type="cellIs" dxfId="278" priority="282" stopIfTrue="1" operator="lessThan">
      <formula>0</formula>
    </cfRule>
  </conditionalFormatting>
  <conditionalFormatting sqref="Y31:Z31">
    <cfRule type="cellIs" dxfId="277" priority="281" stopIfTrue="1" operator="lessThan">
      <formula>0</formula>
    </cfRule>
  </conditionalFormatting>
  <conditionalFormatting sqref="Y35:Z35">
    <cfRule type="cellIs" dxfId="276" priority="280" stopIfTrue="1" operator="lessThan">
      <formula>0</formula>
    </cfRule>
  </conditionalFormatting>
  <conditionalFormatting sqref="Y39:Z39">
    <cfRule type="cellIs" dxfId="275" priority="279" stopIfTrue="1" operator="lessThan">
      <formula>0</formula>
    </cfRule>
  </conditionalFormatting>
  <conditionalFormatting sqref="Y42:Z42">
    <cfRule type="cellIs" dxfId="274" priority="278" stopIfTrue="1" operator="lessThan">
      <formula>0</formula>
    </cfRule>
  </conditionalFormatting>
  <conditionalFormatting sqref="X36">
    <cfRule type="cellIs" dxfId="273" priority="277" stopIfTrue="1" operator="lessThan">
      <formula>0</formula>
    </cfRule>
  </conditionalFormatting>
  <conditionalFormatting sqref="Y36:Z36">
    <cfRule type="cellIs" dxfId="272" priority="276" stopIfTrue="1" operator="lessThan">
      <formula>0</formula>
    </cfRule>
  </conditionalFormatting>
  <conditionalFormatting sqref="X45">
    <cfRule type="cellIs" dxfId="271" priority="275" stopIfTrue="1" operator="lessThan">
      <formula>0</formula>
    </cfRule>
  </conditionalFormatting>
  <conditionalFormatting sqref="Y45:Z45">
    <cfRule type="cellIs" dxfId="270" priority="274" stopIfTrue="1" operator="lessThan">
      <formula>0</formula>
    </cfRule>
  </conditionalFormatting>
  <conditionalFormatting sqref="X46">
    <cfRule type="cellIs" dxfId="269" priority="273" stopIfTrue="1" operator="lessThan">
      <formula>0</formula>
    </cfRule>
  </conditionalFormatting>
  <conditionalFormatting sqref="Y46:Z46">
    <cfRule type="cellIs" dxfId="268" priority="272" stopIfTrue="1" operator="lessThan">
      <formula>0</formula>
    </cfRule>
  </conditionalFormatting>
  <conditionalFormatting sqref="X49">
    <cfRule type="cellIs" dxfId="267" priority="271" stopIfTrue="1" operator="lessThan">
      <formula>0</formula>
    </cfRule>
  </conditionalFormatting>
  <conditionalFormatting sqref="Y49:Z49">
    <cfRule type="cellIs" dxfId="266" priority="270" stopIfTrue="1" operator="lessThan">
      <formula>0</formula>
    </cfRule>
  </conditionalFormatting>
  <conditionalFormatting sqref="X51">
    <cfRule type="cellIs" dxfId="265" priority="269" stopIfTrue="1" operator="lessThan">
      <formula>0</formula>
    </cfRule>
  </conditionalFormatting>
  <conditionalFormatting sqref="Y51:Z51">
    <cfRule type="cellIs" dxfId="264" priority="268" stopIfTrue="1" operator="lessThan">
      <formula>0</formula>
    </cfRule>
  </conditionalFormatting>
  <conditionalFormatting sqref="X52">
    <cfRule type="cellIs" dxfId="263" priority="267" stopIfTrue="1" operator="lessThan">
      <formula>0</formula>
    </cfRule>
  </conditionalFormatting>
  <conditionalFormatting sqref="Y52:Z52">
    <cfRule type="cellIs" dxfId="262" priority="266" stopIfTrue="1" operator="lessThan">
      <formula>0</formula>
    </cfRule>
  </conditionalFormatting>
  <conditionalFormatting sqref="X53">
    <cfRule type="cellIs" dxfId="261" priority="265" stopIfTrue="1" operator="lessThan">
      <formula>0</formula>
    </cfRule>
  </conditionalFormatting>
  <conditionalFormatting sqref="Y53:Z53">
    <cfRule type="cellIs" dxfId="260" priority="264" stopIfTrue="1" operator="lessThan">
      <formula>0</formula>
    </cfRule>
  </conditionalFormatting>
  <conditionalFormatting sqref="AA23">
    <cfRule type="cellIs" dxfId="259" priority="263" stopIfTrue="1" operator="lessThan">
      <formula>0</formula>
    </cfRule>
  </conditionalFormatting>
  <conditionalFormatting sqref="AA26">
    <cfRule type="cellIs" dxfId="258" priority="262" stopIfTrue="1" operator="lessThan">
      <formula>0</formula>
    </cfRule>
  </conditionalFormatting>
  <conditionalFormatting sqref="AA28">
    <cfRule type="cellIs" dxfId="257" priority="261" stopIfTrue="1" operator="lessThan">
      <formula>0</formula>
    </cfRule>
  </conditionalFormatting>
  <conditionalFormatting sqref="AA30">
    <cfRule type="cellIs" dxfId="256" priority="260" stopIfTrue="1" operator="lessThan">
      <formula>0</formula>
    </cfRule>
  </conditionalFormatting>
  <conditionalFormatting sqref="AA32">
    <cfRule type="cellIs" dxfId="255" priority="259" stopIfTrue="1" operator="lessThan">
      <formula>0</formula>
    </cfRule>
  </conditionalFormatting>
  <conditionalFormatting sqref="AA34">
    <cfRule type="cellIs" dxfId="254" priority="258" stopIfTrue="1" operator="lessThan">
      <formula>0</formula>
    </cfRule>
  </conditionalFormatting>
  <conditionalFormatting sqref="AA38">
    <cfRule type="cellIs" dxfId="253" priority="257" stopIfTrue="1" operator="lessThan">
      <formula>0</formula>
    </cfRule>
  </conditionalFormatting>
  <conditionalFormatting sqref="AA41">
    <cfRule type="cellIs" dxfId="252" priority="256" stopIfTrue="1" operator="lessThan">
      <formula>0</formula>
    </cfRule>
  </conditionalFormatting>
  <conditionalFormatting sqref="AA43">
    <cfRule type="cellIs" dxfId="251" priority="255" stopIfTrue="1" operator="lessThan">
      <formula>0</formula>
    </cfRule>
  </conditionalFormatting>
  <conditionalFormatting sqref="AA47">
    <cfRule type="cellIs" dxfId="250" priority="254" stopIfTrue="1" operator="lessThan">
      <formula>0</formula>
    </cfRule>
  </conditionalFormatting>
  <conditionalFormatting sqref="AA50">
    <cfRule type="cellIs" dxfId="249" priority="253" stopIfTrue="1" operator="lessThan">
      <formula>0</formula>
    </cfRule>
  </conditionalFormatting>
  <conditionalFormatting sqref="AB24:AC24">
    <cfRule type="cellIs" dxfId="248" priority="252" stopIfTrue="1" operator="lessThan">
      <formula>0</formula>
    </cfRule>
  </conditionalFormatting>
  <conditionalFormatting sqref="AB27:AC27">
    <cfRule type="cellIs" dxfId="247" priority="251" stopIfTrue="1" operator="lessThan">
      <formula>0</formula>
    </cfRule>
  </conditionalFormatting>
  <conditionalFormatting sqref="AB31:AC31">
    <cfRule type="cellIs" dxfId="246" priority="250" stopIfTrue="1" operator="lessThan">
      <formula>0</formula>
    </cfRule>
  </conditionalFormatting>
  <conditionalFormatting sqref="AB35:AC35">
    <cfRule type="cellIs" dxfId="245" priority="249" stopIfTrue="1" operator="lessThan">
      <formula>0</formula>
    </cfRule>
  </conditionalFormatting>
  <conditionalFormatting sqref="AB39:AC39">
    <cfRule type="cellIs" dxfId="244" priority="248" stopIfTrue="1" operator="lessThan">
      <formula>0</formula>
    </cfRule>
  </conditionalFormatting>
  <conditionalFormatting sqref="AB42:AC42">
    <cfRule type="cellIs" dxfId="243" priority="247" stopIfTrue="1" operator="lessThan">
      <formula>0</formula>
    </cfRule>
  </conditionalFormatting>
  <conditionalFormatting sqref="AA36">
    <cfRule type="cellIs" dxfId="242" priority="246" stopIfTrue="1" operator="lessThan">
      <formula>0</formula>
    </cfRule>
  </conditionalFormatting>
  <conditionalFormatting sqref="AB36:AC36">
    <cfRule type="cellIs" dxfId="241" priority="245" stopIfTrue="1" operator="lessThan">
      <formula>0</formula>
    </cfRule>
  </conditionalFormatting>
  <conditionalFormatting sqref="AA45">
    <cfRule type="cellIs" dxfId="240" priority="244" stopIfTrue="1" operator="lessThan">
      <formula>0</formula>
    </cfRule>
  </conditionalFormatting>
  <conditionalFormatting sqref="AB45:AC45">
    <cfRule type="cellIs" dxfId="239" priority="243" stopIfTrue="1" operator="lessThan">
      <formula>0</formula>
    </cfRule>
  </conditionalFormatting>
  <conditionalFormatting sqref="AA46">
    <cfRule type="cellIs" dxfId="238" priority="242" stopIfTrue="1" operator="lessThan">
      <formula>0</formula>
    </cfRule>
  </conditionalFormatting>
  <conditionalFormatting sqref="AB46:AC46">
    <cfRule type="cellIs" dxfId="237" priority="241" stopIfTrue="1" operator="lessThan">
      <formula>0</formula>
    </cfRule>
  </conditionalFormatting>
  <conditionalFormatting sqref="AA49">
    <cfRule type="cellIs" dxfId="236" priority="240" stopIfTrue="1" operator="lessThan">
      <formula>0</formula>
    </cfRule>
  </conditionalFormatting>
  <conditionalFormatting sqref="AB49:AC49">
    <cfRule type="cellIs" dxfId="235" priority="239" stopIfTrue="1" operator="lessThan">
      <formula>0</formula>
    </cfRule>
  </conditionalFormatting>
  <conditionalFormatting sqref="AA51">
    <cfRule type="cellIs" dxfId="234" priority="238" stopIfTrue="1" operator="lessThan">
      <formula>0</formula>
    </cfRule>
  </conditionalFormatting>
  <conditionalFormatting sqref="AB51:AC51">
    <cfRule type="cellIs" dxfId="233" priority="237" stopIfTrue="1" operator="lessThan">
      <formula>0</formula>
    </cfRule>
  </conditionalFormatting>
  <conditionalFormatting sqref="AA52">
    <cfRule type="cellIs" dxfId="232" priority="236" stopIfTrue="1" operator="lessThan">
      <formula>0</formula>
    </cfRule>
  </conditionalFormatting>
  <conditionalFormatting sqref="AB52:AC52">
    <cfRule type="cellIs" dxfId="231" priority="235" stopIfTrue="1" operator="lessThan">
      <formula>0</formula>
    </cfRule>
  </conditionalFormatting>
  <conditionalFormatting sqref="AA53">
    <cfRule type="cellIs" dxfId="230" priority="234" stopIfTrue="1" operator="lessThan">
      <formula>0</formula>
    </cfRule>
  </conditionalFormatting>
  <conditionalFormatting sqref="AB53:AC53">
    <cfRule type="cellIs" dxfId="229" priority="233" stopIfTrue="1" operator="lessThan">
      <formula>0</formula>
    </cfRule>
  </conditionalFormatting>
  <conditionalFormatting sqref="AN23">
    <cfRule type="cellIs" dxfId="228" priority="232" stopIfTrue="1" operator="lessThan">
      <formula>0</formula>
    </cfRule>
  </conditionalFormatting>
  <conditionalFormatting sqref="AN26">
    <cfRule type="cellIs" dxfId="227" priority="231" stopIfTrue="1" operator="lessThan">
      <formula>0</formula>
    </cfRule>
  </conditionalFormatting>
  <conditionalFormatting sqref="AN28">
    <cfRule type="cellIs" dxfId="226" priority="230" stopIfTrue="1" operator="lessThan">
      <formula>0</formula>
    </cfRule>
  </conditionalFormatting>
  <conditionalFormatting sqref="AN30">
    <cfRule type="cellIs" dxfId="225" priority="229" stopIfTrue="1" operator="lessThan">
      <formula>0</formula>
    </cfRule>
  </conditionalFormatting>
  <conditionalFormatting sqref="AN32">
    <cfRule type="cellIs" dxfId="224" priority="228" stopIfTrue="1" operator="lessThan">
      <formula>0</formula>
    </cfRule>
  </conditionalFormatting>
  <conditionalFormatting sqref="AN34">
    <cfRule type="cellIs" dxfId="223" priority="227" stopIfTrue="1" operator="lessThan">
      <formula>0</formula>
    </cfRule>
  </conditionalFormatting>
  <conditionalFormatting sqref="AN38">
    <cfRule type="cellIs" dxfId="222" priority="226" stopIfTrue="1" operator="lessThan">
      <formula>0</formula>
    </cfRule>
  </conditionalFormatting>
  <conditionalFormatting sqref="AN41">
    <cfRule type="cellIs" dxfId="221" priority="225" stopIfTrue="1" operator="lessThan">
      <formula>0</formula>
    </cfRule>
  </conditionalFormatting>
  <conditionalFormatting sqref="AN43">
    <cfRule type="cellIs" dxfId="220" priority="224" stopIfTrue="1" operator="lessThan">
      <formula>0</formula>
    </cfRule>
  </conditionalFormatting>
  <conditionalFormatting sqref="AN47">
    <cfRule type="cellIs" dxfId="219" priority="223" stopIfTrue="1" operator="lessThan">
      <formula>0</formula>
    </cfRule>
  </conditionalFormatting>
  <conditionalFormatting sqref="AN50">
    <cfRule type="cellIs" dxfId="218" priority="222" stopIfTrue="1" operator="lessThan">
      <formula>0</formula>
    </cfRule>
  </conditionalFormatting>
  <conditionalFormatting sqref="AO24:AR24">
    <cfRule type="cellIs" dxfId="217" priority="221" stopIfTrue="1" operator="lessThan">
      <formula>0</formula>
    </cfRule>
  </conditionalFormatting>
  <conditionalFormatting sqref="AO27:AR27">
    <cfRule type="cellIs" dxfId="216" priority="220" stopIfTrue="1" operator="lessThan">
      <formula>0</formula>
    </cfRule>
  </conditionalFormatting>
  <conditionalFormatting sqref="AO31:AR31">
    <cfRule type="cellIs" dxfId="215" priority="219" stopIfTrue="1" operator="lessThan">
      <formula>0</formula>
    </cfRule>
  </conditionalFormatting>
  <conditionalFormatting sqref="AO35:AR35">
    <cfRule type="cellIs" dxfId="214" priority="218" stopIfTrue="1" operator="lessThan">
      <formula>0</formula>
    </cfRule>
  </conditionalFormatting>
  <conditionalFormatting sqref="AO39:AR39">
    <cfRule type="cellIs" dxfId="213" priority="217" stopIfTrue="1" operator="lessThan">
      <formula>0</formula>
    </cfRule>
  </conditionalFormatting>
  <conditionalFormatting sqref="AO42:AR42">
    <cfRule type="cellIs" dxfId="212" priority="216" stopIfTrue="1" operator="lessThan">
      <formula>0</formula>
    </cfRule>
  </conditionalFormatting>
  <conditionalFormatting sqref="AN36">
    <cfRule type="cellIs" dxfId="211" priority="215" stopIfTrue="1" operator="lessThan">
      <formula>0</formula>
    </cfRule>
  </conditionalFormatting>
  <conditionalFormatting sqref="AO36:AR36">
    <cfRule type="cellIs" dxfId="210" priority="214" stopIfTrue="1" operator="lessThan">
      <formula>0</formula>
    </cfRule>
  </conditionalFormatting>
  <conditionalFormatting sqref="AN45">
    <cfRule type="cellIs" dxfId="209" priority="213" stopIfTrue="1" operator="lessThan">
      <formula>0</formula>
    </cfRule>
  </conditionalFormatting>
  <conditionalFormatting sqref="AO45:AR45">
    <cfRule type="cellIs" dxfId="208" priority="212" stopIfTrue="1" operator="lessThan">
      <formula>0</formula>
    </cfRule>
  </conditionalFormatting>
  <conditionalFormatting sqref="AN46">
    <cfRule type="cellIs" dxfId="207" priority="211" stopIfTrue="1" operator="lessThan">
      <formula>0</formula>
    </cfRule>
  </conditionalFormatting>
  <conditionalFormatting sqref="AO46:AR46">
    <cfRule type="cellIs" dxfId="206" priority="210" stopIfTrue="1" operator="lessThan">
      <formula>0</formula>
    </cfRule>
  </conditionalFormatting>
  <conditionalFormatting sqref="AN49">
    <cfRule type="cellIs" dxfId="205" priority="209" stopIfTrue="1" operator="lessThan">
      <formula>0</formula>
    </cfRule>
  </conditionalFormatting>
  <conditionalFormatting sqref="AO49:AR49">
    <cfRule type="cellIs" dxfId="204" priority="208" stopIfTrue="1" operator="lessThan">
      <formula>0</formula>
    </cfRule>
  </conditionalFormatting>
  <conditionalFormatting sqref="AN51">
    <cfRule type="cellIs" dxfId="203" priority="207" stopIfTrue="1" operator="lessThan">
      <formula>0</formula>
    </cfRule>
  </conditionalFormatting>
  <conditionalFormatting sqref="AO51:AR51">
    <cfRule type="cellIs" dxfId="202" priority="206" stopIfTrue="1" operator="lessThan">
      <formula>0</formula>
    </cfRule>
  </conditionalFormatting>
  <conditionalFormatting sqref="AN52">
    <cfRule type="cellIs" dxfId="201" priority="205" stopIfTrue="1" operator="lessThan">
      <formula>0</formula>
    </cfRule>
  </conditionalFormatting>
  <conditionalFormatting sqref="AO52:AR52">
    <cfRule type="cellIs" dxfId="200" priority="204" stopIfTrue="1" operator="lessThan">
      <formula>0</formula>
    </cfRule>
  </conditionalFormatting>
  <conditionalFormatting sqref="AN53">
    <cfRule type="cellIs" dxfId="199" priority="203" stopIfTrue="1" operator="lessThan">
      <formula>0</formula>
    </cfRule>
  </conditionalFormatting>
  <conditionalFormatting sqref="AO53:AR53">
    <cfRule type="cellIs" dxfId="198" priority="202" stopIfTrue="1" operator="lessThan">
      <formula>0</formula>
    </cfRule>
  </conditionalFormatting>
  <conditionalFormatting sqref="AD23">
    <cfRule type="cellIs" dxfId="197" priority="201" stopIfTrue="1" operator="lessThan">
      <formula>0</formula>
    </cfRule>
  </conditionalFormatting>
  <conditionalFormatting sqref="AD26">
    <cfRule type="cellIs" dxfId="196" priority="200" stopIfTrue="1" operator="lessThan">
      <formula>0</formula>
    </cfRule>
  </conditionalFormatting>
  <conditionalFormatting sqref="AD28">
    <cfRule type="cellIs" dxfId="195" priority="199" stopIfTrue="1" operator="lessThan">
      <formula>0</formula>
    </cfRule>
  </conditionalFormatting>
  <conditionalFormatting sqref="AD30">
    <cfRule type="cellIs" dxfId="194" priority="198" stopIfTrue="1" operator="lessThan">
      <formula>0</formula>
    </cfRule>
  </conditionalFormatting>
  <conditionalFormatting sqref="AD32">
    <cfRule type="cellIs" dxfId="193" priority="197" stopIfTrue="1" operator="lessThan">
      <formula>0</formula>
    </cfRule>
  </conditionalFormatting>
  <conditionalFormatting sqref="AD34">
    <cfRule type="cellIs" dxfId="192" priority="196" stopIfTrue="1" operator="lessThan">
      <formula>0</formula>
    </cfRule>
  </conditionalFormatting>
  <conditionalFormatting sqref="AD38">
    <cfRule type="cellIs" dxfId="191" priority="195" stopIfTrue="1" operator="lessThan">
      <formula>0</formula>
    </cfRule>
  </conditionalFormatting>
  <conditionalFormatting sqref="AD41">
    <cfRule type="cellIs" dxfId="190" priority="194" stopIfTrue="1" operator="lessThan">
      <formula>0</formula>
    </cfRule>
  </conditionalFormatting>
  <conditionalFormatting sqref="AD47">
    <cfRule type="cellIs" dxfId="189" priority="192" stopIfTrue="1" operator="lessThan">
      <formula>0</formula>
    </cfRule>
  </conditionalFormatting>
  <conditionalFormatting sqref="AD50">
    <cfRule type="cellIs" dxfId="188" priority="191" stopIfTrue="1" operator="lessThan">
      <formula>0</formula>
    </cfRule>
  </conditionalFormatting>
  <conditionalFormatting sqref="AD36">
    <cfRule type="cellIs" dxfId="187" priority="190" stopIfTrue="1" operator="lessThan">
      <formula>0</formula>
    </cfRule>
  </conditionalFormatting>
  <conditionalFormatting sqref="AD45">
    <cfRule type="cellIs" dxfId="186" priority="189" stopIfTrue="1" operator="lessThan">
      <formula>0</formula>
    </cfRule>
  </conditionalFormatting>
  <conditionalFormatting sqref="AD46">
    <cfRule type="cellIs" dxfId="185" priority="188" stopIfTrue="1" operator="lessThan">
      <formula>0</formula>
    </cfRule>
  </conditionalFormatting>
  <conditionalFormatting sqref="AD49">
    <cfRule type="cellIs" dxfId="184" priority="187" stopIfTrue="1" operator="lessThan">
      <formula>0</formula>
    </cfRule>
  </conditionalFormatting>
  <conditionalFormatting sqref="AD51">
    <cfRule type="cellIs" dxfId="183" priority="186" stopIfTrue="1" operator="lessThan">
      <formula>0</formula>
    </cfRule>
  </conditionalFormatting>
  <conditionalFormatting sqref="AD52">
    <cfRule type="cellIs" dxfId="182" priority="185" stopIfTrue="1" operator="lessThan">
      <formula>0</formula>
    </cfRule>
  </conditionalFormatting>
  <conditionalFormatting sqref="AD53">
    <cfRule type="cellIs" dxfId="181" priority="184" stopIfTrue="1" operator="lessThan">
      <formula>0</formula>
    </cfRule>
  </conditionalFormatting>
  <conditionalFormatting sqref="AD56">
    <cfRule type="cellIs" dxfId="180" priority="183" stopIfTrue="1" operator="lessThan">
      <formula>0</formula>
    </cfRule>
  </conditionalFormatting>
  <conditionalFormatting sqref="AD57">
    <cfRule type="cellIs" dxfId="179" priority="182" stopIfTrue="1" operator="lessThan">
      <formula>0</formula>
    </cfRule>
  </conditionalFormatting>
  <conditionalFormatting sqref="AI23">
    <cfRule type="cellIs" dxfId="178" priority="181" stopIfTrue="1" operator="lessThan">
      <formula>0</formula>
    </cfRule>
  </conditionalFormatting>
  <conditionalFormatting sqref="AI26">
    <cfRule type="cellIs" dxfId="177" priority="180" stopIfTrue="1" operator="lessThan">
      <formula>0</formula>
    </cfRule>
  </conditionalFormatting>
  <conditionalFormatting sqref="AI28">
    <cfRule type="cellIs" dxfId="176" priority="179" stopIfTrue="1" operator="lessThan">
      <formula>0</formula>
    </cfRule>
  </conditionalFormatting>
  <conditionalFormatting sqref="AI30">
    <cfRule type="cellIs" dxfId="175" priority="178" stopIfTrue="1" operator="lessThan">
      <formula>0</formula>
    </cfRule>
  </conditionalFormatting>
  <conditionalFormatting sqref="AI32">
    <cfRule type="cellIs" dxfId="174" priority="177" stopIfTrue="1" operator="lessThan">
      <formula>0</formula>
    </cfRule>
  </conditionalFormatting>
  <conditionalFormatting sqref="AI34">
    <cfRule type="cellIs" dxfId="173" priority="176" stopIfTrue="1" operator="lessThan">
      <formula>0</formula>
    </cfRule>
  </conditionalFormatting>
  <conditionalFormatting sqref="AI38">
    <cfRule type="cellIs" dxfId="172" priority="175" stopIfTrue="1" operator="lessThan">
      <formula>0</formula>
    </cfRule>
  </conditionalFormatting>
  <conditionalFormatting sqref="AI41">
    <cfRule type="cellIs" dxfId="171" priority="174" stopIfTrue="1" operator="lessThan">
      <formula>0</formula>
    </cfRule>
  </conditionalFormatting>
  <conditionalFormatting sqref="AI43">
    <cfRule type="cellIs" dxfId="170" priority="173" stopIfTrue="1" operator="lessThan">
      <formula>0</formula>
    </cfRule>
  </conditionalFormatting>
  <conditionalFormatting sqref="AI47">
    <cfRule type="cellIs" dxfId="169" priority="172" stopIfTrue="1" operator="lessThan">
      <formula>0</formula>
    </cfRule>
  </conditionalFormatting>
  <conditionalFormatting sqref="AI50">
    <cfRule type="cellIs" dxfId="168" priority="171" stopIfTrue="1" operator="lessThan">
      <formula>0</formula>
    </cfRule>
  </conditionalFormatting>
  <conditionalFormatting sqref="AI36">
    <cfRule type="cellIs" dxfId="167" priority="170" stopIfTrue="1" operator="lessThan">
      <formula>0</formula>
    </cfRule>
  </conditionalFormatting>
  <conditionalFormatting sqref="AI45">
    <cfRule type="cellIs" dxfId="166" priority="169" stopIfTrue="1" operator="lessThan">
      <formula>0</formula>
    </cfRule>
  </conditionalFormatting>
  <conditionalFormatting sqref="AI46">
    <cfRule type="cellIs" dxfId="165" priority="168" stopIfTrue="1" operator="lessThan">
      <formula>0</formula>
    </cfRule>
  </conditionalFormatting>
  <conditionalFormatting sqref="AI49">
    <cfRule type="cellIs" dxfId="164" priority="167" stopIfTrue="1" operator="lessThan">
      <formula>0</formula>
    </cfRule>
  </conditionalFormatting>
  <conditionalFormatting sqref="AI51">
    <cfRule type="cellIs" dxfId="163" priority="166" stopIfTrue="1" operator="lessThan">
      <formula>0</formula>
    </cfRule>
  </conditionalFormatting>
  <conditionalFormatting sqref="AI52">
    <cfRule type="cellIs" dxfId="162" priority="165" stopIfTrue="1" operator="lessThan">
      <formula>0</formula>
    </cfRule>
  </conditionalFormatting>
  <conditionalFormatting sqref="AI53">
    <cfRule type="cellIs" dxfId="161" priority="164" stopIfTrue="1" operator="lessThan">
      <formula>0</formula>
    </cfRule>
  </conditionalFormatting>
  <conditionalFormatting sqref="AI56">
    <cfRule type="cellIs" dxfId="160" priority="163" stopIfTrue="1" operator="lessThan">
      <formula>0</formula>
    </cfRule>
  </conditionalFormatting>
  <conditionalFormatting sqref="AI57">
    <cfRule type="cellIs" dxfId="159" priority="162" stopIfTrue="1" operator="lessThan">
      <formula>0</formula>
    </cfRule>
  </conditionalFormatting>
  <conditionalFormatting sqref="AN56">
    <cfRule type="cellIs" dxfId="158" priority="161" stopIfTrue="1" operator="lessThan">
      <formula>0</formula>
    </cfRule>
  </conditionalFormatting>
  <conditionalFormatting sqref="AO56:AR56">
    <cfRule type="cellIs" dxfId="157" priority="160" stopIfTrue="1" operator="lessThan">
      <formula>0</formula>
    </cfRule>
  </conditionalFormatting>
  <conditionalFormatting sqref="AN57">
    <cfRule type="cellIs" dxfId="156" priority="159" stopIfTrue="1" operator="lessThan">
      <formula>0</formula>
    </cfRule>
  </conditionalFormatting>
  <conditionalFormatting sqref="AO57:AR57">
    <cfRule type="cellIs" dxfId="155" priority="158" stopIfTrue="1" operator="lessThan">
      <formula>0</formula>
    </cfRule>
  </conditionalFormatting>
  <conditionalFormatting sqref="J56">
    <cfRule type="cellIs" dxfId="154" priority="157" stopIfTrue="1" operator="lessThan">
      <formula>0</formula>
    </cfRule>
  </conditionalFormatting>
  <conditionalFormatting sqref="K56:O56">
    <cfRule type="cellIs" dxfId="153" priority="156" stopIfTrue="1" operator="lessThan">
      <formula>0</formula>
    </cfRule>
  </conditionalFormatting>
  <conditionalFormatting sqref="J57">
    <cfRule type="cellIs" dxfId="152" priority="155" stopIfTrue="1" operator="lessThan">
      <formula>0</formula>
    </cfRule>
  </conditionalFormatting>
  <conditionalFormatting sqref="K57:O57">
    <cfRule type="cellIs" dxfId="151" priority="154" stopIfTrue="1" operator="lessThan">
      <formula>0</formula>
    </cfRule>
  </conditionalFormatting>
  <conditionalFormatting sqref="P56">
    <cfRule type="cellIs" dxfId="150" priority="153" stopIfTrue="1" operator="lessThan">
      <formula>0</formula>
    </cfRule>
  </conditionalFormatting>
  <conditionalFormatting sqref="Q56:W56">
    <cfRule type="cellIs" dxfId="149" priority="152" stopIfTrue="1" operator="lessThan">
      <formula>0</formula>
    </cfRule>
  </conditionalFormatting>
  <conditionalFormatting sqref="P57">
    <cfRule type="cellIs" dxfId="148" priority="151" stopIfTrue="1" operator="lessThan">
      <formula>0</formula>
    </cfRule>
  </conditionalFormatting>
  <conditionalFormatting sqref="Q57:W57">
    <cfRule type="cellIs" dxfId="147" priority="150" stopIfTrue="1" operator="lessThan">
      <formula>0</formula>
    </cfRule>
  </conditionalFormatting>
  <conditionalFormatting sqref="X56:Z56">
    <cfRule type="cellIs" dxfId="146" priority="149" stopIfTrue="1" operator="lessThan">
      <formula>0</formula>
    </cfRule>
  </conditionalFormatting>
  <conditionalFormatting sqref="X57:Z57">
    <cfRule type="cellIs" dxfId="145" priority="148" stopIfTrue="1" operator="lessThan">
      <formula>0</formula>
    </cfRule>
  </conditionalFormatting>
  <conditionalFormatting sqref="AA56:AC56">
    <cfRule type="cellIs" dxfId="144" priority="147" stopIfTrue="1" operator="lessThan">
      <formula>0</formula>
    </cfRule>
  </conditionalFormatting>
  <conditionalFormatting sqref="AA57:AC57">
    <cfRule type="cellIs" dxfId="143" priority="146" stopIfTrue="1" operator="lessThan">
      <formula>0</formula>
    </cfRule>
  </conditionalFormatting>
  <conditionalFormatting sqref="AV56">
    <cfRule type="cellIs" dxfId="142" priority="144" stopIfTrue="1" operator="lessThan">
      <formula>0</formula>
    </cfRule>
  </conditionalFormatting>
  <conditionalFormatting sqref="AV57">
    <cfRule type="cellIs" dxfId="141" priority="142" stopIfTrue="1" operator="lessThan">
      <formula>0</formula>
    </cfRule>
  </conditionalFormatting>
  <conditionalFormatting sqref="AU23">
    <cfRule type="cellIs" dxfId="140" priority="115" stopIfTrue="1" operator="lessThan">
      <formula>0</formula>
    </cfRule>
  </conditionalFormatting>
  <conditionalFormatting sqref="AT32">
    <cfRule type="cellIs" dxfId="139" priority="104" stopIfTrue="1" operator="lessThan">
      <formula>0</formula>
    </cfRule>
  </conditionalFormatting>
  <conditionalFormatting sqref="AU32">
    <cfRule type="cellIs" dxfId="138" priority="103" stopIfTrue="1" operator="lessThan">
      <formula>0</formula>
    </cfRule>
  </conditionalFormatting>
  <conditionalFormatting sqref="AS36">
    <cfRule type="cellIs" dxfId="137" priority="99" stopIfTrue="1" operator="lessThan">
      <formula>0</formula>
    </cfRule>
  </conditionalFormatting>
  <conditionalFormatting sqref="AT36">
    <cfRule type="cellIs" dxfId="136" priority="98" stopIfTrue="1" operator="lessThan">
      <formula>0</formula>
    </cfRule>
  </conditionalFormatting>
  <conditionalFormatting sqref="AU38">
    <cfRule type="cellIs" dxfId="135" priority="94" stopIfTrue="1" operator="lessThan">
      <formula>0</formula>
    </cfRule>
  </conditionalFormatting>
  <conditionalFormatting sqref="AS41">
    <cfRule type="cellIs" dxfId="134" priority="93" stopIfTrue="1" operator="lessThan">
      <formula>0</formula>
    </cfRule>
  </conditionalFormatting>
  <conditionalFormatting sqref="AT43">
    <cfRule type="cellIs" dxfId="133" priority="89" stopIfTrue="1" operator="lessThan">
      <formula>0</formula>
    </cfRule>
  </conditionalFormatting>
  <conditionalFormatting sqref="AU43">
    <cfRule type="cellIs" dxfId="132" priority="88" stopIfTrue="1" operator="lessThan">
      <formula>0</formula>
    </cfRule>
  </conditionalFormatting>
  <conditionalFormatting sqref="AS46">
    <cfRule type="cellIs" dxfId="131" priority="84" stopIfTrue="1" operator="lessThan">
      <formula>0</formula>
    </cfRule>
  </conditionalFormatting>
  <conditionalFormatting sqref="AT46">
    <cfRule type="cellIs" dxfId="130" priority="83" stopIfTrue="1" operator="lessThan">
      <formula>0</formula>
    </cfRule>
  </conditionalFormatting>
  <conditionalFormatting sqref="AS49">
    <cfRule type="cellIs" dxfId="129" priority="78" stopIfTrue="1" operator="lessThan">
      <formula>0</formula>
    </cfRule>
  </conditionalFormatting>
  <conditionalFormatting sqref="AT50">
    <cfRule type="cellIs" dxfId="128" priority="74" stopIfTrue="1" operator="lessThan">
      <formula>0</formula>
    </cfRule>
  </conditionalFormatting>
  <conditionalFormatting sqref="AU50">
    <cfRule type="cellIs" dxfId="127" priority="73" stopIfTrue="1" operator="lessThan">
      <formula>0</formula>
    </cfRule>
  </conditionalFormatting>
  <conditionalFormatting sqref="AS52">
    <cfRule type="cellIs" dxfId="126" priority="69" stopIfTrue="1" operator="lessThan">
      <formula>0</formula>
    </cfRule>
  </conditionalFormatting>
  <conditionalFormatting sqref="AU53">
    <cfRule type="cellIs" dxfId="125" priority="64" stopIfTrue="1" operator="lessThan">
      <formula>0</formula>
    </cfRule>
  </conditionalFormatting>
  <conditionalFormatting sqref="AS56">
    <cfRule type="cellIs" dxfId="124" priority="63" stopIfTrue="1" operator="lessThan">
      <formula>0</formula>
    </cfRule>
  </conditionalFormatting>
  <conditionalFormatting sqref="AU26">
    <cfRule type="cellIs" dxfId="123" priority="112" stopIfTrue="1" operator="lessThan">
      <formula>0</formula>
    </cfRule>
  </conditionalFormatting>
  <conditionalFormatting sqref="AU28">
    <cfRule type="cellIs" dxfId="122" priority="109" stopIfTrue="1" operator="lessThan">
      <formula>0</formula>
    </cfRule>
  </conditionalFormatting>
  <conditionalFormatting sqref="AS30">
    <cfRule type="cellIs" dxfId="121" priority="108" stopIfTrue="1" operator="lessThan">
      <formula>0</formula>
    </cfRule>
  </conditionalFormatting>
  <conditionalFormatting sqref="AT30">
    <cfRule type="cellIs" dxfId="120" priority="107" stopIfTrue="1" operator="lessThan">
      <formula>0</formula>
    </cfRule>
  </conditionalFormatting>
  <conditionalFormatting sqref="AU30">
    <cfRule type="cellIs" dxfId="119" priority="106" stopIfTrue="1" operator="lessThan">
      <formula>0</formula>
    </cfRule>
  </conditionalFormatting>
  <conditionalFormatting sqref="AS32">
    <cfRule type="cellIs" dxfId="118" priority="105" stopIfTrue="1" operator="lessThan">
      <formula>0</formula>
    </cfRule>
  </conditionalFormatting>
  <conditionalFormatting sqref="AS34">
    <cfRule type="cellIs" dxfId="117" priority="102" stopIfTrue="1" operator="lessThan">
      <formula>0</formula>
    </cfRule>
  </conditionalFormatting>
  <conditionalFormatting sqref="AT34">
    <cfRule type="cellIs" dxfId="116" priority="101" stopIfTrue="1" operator="lessThan">
      <formula>0</formula>
    </cfRule>
  </conditionalFormatting>
  <conditionalFormatting sqref="AU34">
    <cfRule type="cellIs" dxfId="115" priority="100" stopIfTrue="1" operator="lessThan">
      <formula>0</formula>
    </cfRule>
  </conditionalFormatting>
  <conditionalFormatting sqref="AU36">
    <cfRule type="cellIs" dxfId="114" priority="97" stopIfTrue="1" operator="lessThan">
      <formula>0</formula>
    </cfRule>
  </conditionalFormatting>
  <conditionalFormatting sqref="AS38">
    <cfRule type="cellIs" dxfId="113" priority="96" stopIfTrue="1" operator="lessThan">
      <formula>0</formula>
    </cfRule>
  </conditionalFormatting>
  <conditionalFormatting sqref="AT38">
    <cfRule type="cellIs" dxfId="112" priority="95" stopIfTrue="1" operator="lessThan">
      <formula>0</formula>
    </cfRule>
  </conditionalFormatting>
  <conditionalFormatting sqref="AT41">
    <cfRule type="cellIs" dxfId="111" priority="92" stopIfTrue="1" operator="lessThan">
      <formula>0</formula>
    </cfRule>
  </conditionalFormatting>
  <conditionalFormatting sqref="AU41">
    <cfRule type="cellIs" dxfId="110" priority="91" stopIfTrue="1" operator="lessThan">
      <formula>0</formula>
    </cfRule>
  </conditionalFormatting>
  <conditionalFormatting sqref="AS43">
    <cfRule type="cellIs" dxfId="109" priority="90" stopIfTrue="1" operator="lessThan">
      <formula>0</formula>
    </cfRule>
  </conditionalFormatting>
  <conditionalFormatting sqref="AU46">
    <cfRule type="cellIs" dxfId="108" priority="82" stopIfTrue="1" operator="lessThan">
      <formula>0</formula>
    </cfRule>
  </conditionalFormatting>
  <conditionalFormatting sqref="AS47">
    <cfRule type="cellIs" dxfId="107" priority="81" stopIfTrue="1" operator="lessThan">
      <formula>0</formula>
    </cfRule>
  </conditionalFormatting>
  <conditionalFormatting sqref="AT47">
    <cfRule type="cellIs" dxfId="106" priority="80" stopIfTrue="1" operator="lessThan">
      <formula>0</formula>
    </cfRule>
  </conditionalFormatting>
  <conditionalFormatting sqref="AT49">
    <cfRule type="cellIs" dxfId="105" priority="77" stopIfTrue="1" operator="lessThan">
      <formula>0</formula>
    </cfRule>
  </conditionalFormatting>
  <conditionalFormatting sqref="AU49">
    <cfRule type="cellIs" dxfId="104" priority="76" stopIfTrue="1" operator="lessThan">
      <formula>0</formula>
    </cfRule>
  </conditionalFormatting>
  <conditionalFormatting sqref="AS50">
    <cfRule type="cellIs" dxfId="103" priority="75" stopIfTrue="1" operator="lessThan">
      <formula>0</formula>
    </cfRule>
  </conditionalFormatting>
  <conditionalFormatting sqref="AS51">
    <cfRule type="cellIs" dxfId="102" priority="72" stopIfTrue="1" operator="lessThan">
      <formula>0</formula>
    </cfRule>
  </conditionalFormatting>
  <conditionalFormatting sqref="AT51">
    <cfRule type="cellIs" dxfId="101" priority="71" stopIfTrue="1" operator="lessThan">
      <formula>0</formula>
    </cfRule>
  </conditionalFormatting>
  <conditionalFormatting sqref="AU52">
    <cfRule type="cellIs" dxfId="100" priority="67" stopIfTrue="1" operator="lessThan">
      <formula>0</formula>
    </cfRule>
  </conditionalFormatting>
  <conditionalFormatting sqref="AS53">
    <cfRule type="cellIs" dxfId="99" priority="66" stopIfTrue="1" operator="lessThan">
      <formula>0</formula>
    </cfRule>
  </conditionalFormatting>
  <conditionalFormatting sqref="AT53">
    <cfRule type="cellIs" dxfId="98" priority="65" stopIfTrue="1" operator="lessThan">
      <formula>0</formula>
    </cfRule>
  </conditionalFormatting>
  <conditionalFormatting sqref="AT56">
    <cfRule type="cellIs" dxfId="97" priority="62" stopIfTrue="1" operator="lessThan">
      <formula>0</formula>
    </cfRule>
  </conditionalFormatting>
  <conditionalFormatting sqref="AU56">
    <cfRule type="cellIs" dxfId="96" priority="61" stopIfTrue="1" operator="lessThan">
      <formula>0</formula>
    </cfRule>
  </conditionalFormatting>
  <conditionalFormatting sqref="AS45">
    <cfRule type="cellIs" dxfId="95" priority="57" stopIfTrue="1" operator="lessThan">
      <formula>0</formula>
    </cfRule>
  </conditionalFormatting>
  <conditionalFormatting sqref="AT45">
    <cfRule type="cellIs" dxfId="94" priority="56" stopIfTrue="1" operator="lessThan">
      <formula>0</formula>
    </cfRule>
  </conditionalFormatting>
  <conditionalFormatting sqref="AU45">
    <cfRule type="cellIs" dxfId="93" priority="55" stopIfTrue="1" operator="lessThan">
      <formula>0</formula>
    </cfRule>
  </conditionalFormatting>
  <conditionalFormatting sqref="D5:D7">
    <cfRule type="cellIs" dxfId="92" priority="54" stopIfTrue="1" operator="lessThan">
      <formula>0</formula>
    </cfRule>
  </conditionalFormatting>
  <conditionalFormatting sqref="E5:E7">
    <cfRule type="cellIs" dxfId="91" priority="53" stopIfTrue="1" operator="lessThan">
      <formula>0</formula>
    </cfRule>
  </conditionalFormatting>
  <conditionalFormatting sqref="J5:J7">
    <cfRule type="cellIs" dxfId="90" priority="52" stopIfTrue="1" operator="lessThan">
      <formula>0</formula>
    </cfRule>
  </conditionalFormatting>
  <conditionalFormatting sqref="K5:K7">
    <cfRule type="cellIs" dxfId="89" priority="51" stopIfTrue="1" operator="lessThan">
      <formula>0</formula>
    </cfRule>
  </conditionalFormatting>
  <conditionalFormatting sqref="F13:H13">
    <cfRule type="cellIs" dxfId="88" priority="50" stopIfTrue="1" operator="lessThan">
      <formula>0</formula>
    </cfRule>
  </conditionalFormatting>
  <conditionalFormatting sqref="D13">
    <cfRule type="cellIs" dxfId="87" priority="49" stopIfTrue="1" operator="lessThan">
      <formula>0</formula>
    </cfRule>
  </conditionalFormatting>
  <conditionalFormatting sqref="E13">
    <cfRule type="cellIs" dxfId="86" priority="48" stopIfTrue="1" operator="lessThan">
      <formula>0</formula>
    </cfRule>
  </conditionalFormatting>
  <conditionalFormatting sqref="I13">
    <cfRule type="cellIs" dxfId="85" priority="47" stopIfTrue="1" operator="lessThan">
      <formula>0</formula>
    </cfRule>
  </conditionalFormatting>
  <conditionalFormatting sqref="J13">
    <cfRule type="cellIs" dxfId="84" priority="46" stopIfTrue="1" operator="lessThan">
      <formula>0</formula>
    </cfRule>
  </conditionalFormatting>
  <conditionalFormatting sqref="K13">
    <cfRule type="cellIs" dxfId="83" priority="45" stopIfTrue="1" operator="lessThan">
      <formula>0</formula>
    </cfRule>
  </conditionalFormatting>
  <conditionalFormatting sqref="D23">
    <cfRule type="cellIs" dxfId="82" priority="44" stopIfTrue="1" operator="lessThan">
      <formula>0</formula>
    </cfRule>
  </conditionalFormatting>
  <conditionalFormatting sqref="E24">
    <cfRule type="cellIs" dxfId="81" priority="43" stopIfTrue="1" operator="lessThan">
      <formula>0</formula>
    </cfRule>
  </conditionalFormatting>
  <conditionalFormatting sqref="D26">
    <cfRule type="cellIs" dxfId="80" priority="42" stopIfTrue="1" operator="lessThan">
      <formula>0</formula>
    </cfRule>
  </conditionalFormatting>
  <conditionalFormatting sqref="E27">
    <cfRule type="cellIs" dxfId="79" priority="41" stopIfTrue="1" operator="lessThan">
      <formula>0</formula>
    </cfRule>
  </conditionalFormatting>
  <conditionalFormatting sqref="D28">
    <cfRule type="cellIs" dxfId="78" priority="40" stopIfTrue="1" operator="lessThan">
      <formula>0</formula>
    </cfRule>
  </conditionalFormatting>
  <conditionalFormatting sqref="I24">
    <cfRule type="cellIs" dxfId="77" priority="39" stopIfTrue="1" operator="lessThan">
      <formula>0</formula>
    </cfRule>
  </conditionalFormatting>
  <conditionalFormatting sqref="I27">
    <cfRule type="cellIs" dxfId="76" priority="38" stopIfTrue="1" operator="lessThan">
      <formula>0</formula>
    </cfRule>
  </conditionalFormatting>
  <conditionalFormatting sqref="J23">
    <cfRule type="cellIs" dxfId="75" priority="37" stopIfTrue="1" operator="lessThan">
      <formula>0</formula>
    </cfRule>
  </conditionalFormatting>
  <conditionalFormatting sqref="J26">
    <cfRule type="cellIs" dxfId="74" priority="36" stopIfTrue="1" operator="lessThan">
      <formula>0</formula>
    </cfRule>
  </conditionalFormatting>
  <conditionalFormatting sqref="J28">
    <cfRule type="cellIs" dxfId="73" priority="35" stopIfTrue="1" operator="lessThan">
      <formula>0</formula>
    </cfRule>
  </conditionalFormatting>
  <conditionalFormatting sqref="K24">
    <cfRule type="cellIs" dxfId="72" priority="34" stopIfTrue="1" operator="lessThan">
      <formula>0</formula>
    </cfRule>
  </conditionalFormatting>
  <conditionalFormatting sqref="K27">
    <cfRule type="cellIs" dxfId="71" priority="33" stopIfTrue="1" operator="lessThan">
      <formula>0</formula>
    </cfRule>
  </conditionalFormatting>
  <conditionalFormatting sqref="D45">
    <cfRule type="cellIs" dxfId="70" priority="32" stopIfTrue="1" operator="lessThan">
      <formula>0</formula>
    </cfRule>
  </conditionalFormatting>
  <conditionalFormatting sqref="D46">
    <cfRule type="cellIs" dxfId="69" priority="31" stopIfTrue="1" operator="lessThan">
      <formula>0</formula>
    </cfRule>
  </conditionalFormatting>
  <conditionalFormatting sqref="D47">
    <cfRule type="cellIs" dxfId="68" priority="30" stopIfTrue="1" operator="lessThan">
      <formula>0</formula>
    </cfRule>
  </conditionalFormatting>
  <conditionalFormatting sqref="E45">
    <cfRule type="cellIs" dxfId="67" priority="29" stopIfTrue="1" operator="lessThan">
      <formula>0</formula>
    </cfRule>
  </conditionalFormatting>
  <conditionalFormatting sqref="E46">
    <cfRule type="cellIs" dxfId="66" priority="28" stopIfTrue="1" operator="lessThan">
      <formula>0</formula>
    </cfRule>
  </conditionalFormatting>
  <conditionalFormatting sqref="I58">
    <cfRule type="cellIs" dxfId="65" priority="27" stopIfTrue="1" operator="lessThan">
      <formula>0</formula>
    </cfRule>
  </conditionalFormatting>
  <conditionalFormatting sqref="P5:P7">
    <cfRule type="cellIs" dxfId="64" priority="26" stopIfTrue="1" operator="lessThan">
      <formula>0</formula>
    </cfRule>
  </conditionalFormatting>
  <conditionalFormatting sqref="Q5:Q7">
    <cfRule type="cellIs" dxfId="63" priority="25" stopIfTrue="1" operator="lessThan">
      <formula>0</formula>
    </cfRule>
  </conditionalFormatting>
  <conditionalFormatting sqref="P23">
    <cfRule type="cellIs" dxfId="62" priority="24" stopIfTrue="1" operator="lessThan">
      <formula>0</formula>
    </cfRule>
  </conditionalFormatting>
  <conditionalFormatting sqref="Q24">
    <cfRule type="cellIs" dxfId="61" priority="23" stopIfTrue="1" operator="lessThan">
      <formula>0</formula>
    </cfRule>
  </conditionalFormatting>
  <conditionalFormatting sqref="P26">
    <cfRule type="cellIs" dxfId="60" priority="22" stopIfTrue="1" operator="lessThan">
      <formula>0</formula>
    </cfRule>
  </conditionalFormatting>
  <conditionalFormatting sqref="Q27">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47">
    <cfRule type="cellIs" dxfId="57" priority="19" stopIfTrue="1" operator="lessThan">
      <formula>0</formula>
    </cfRule>
  </conditionalFormatting>
  <conditionalFormatting sqref="P45">
    <cfRule type="cellIs" dxfId="56" priority="18" stopIfTrue="1" operator="lessThan">
      <formula>0</formula>
    </cfRule>
  </conditionalFormatting>
  <conditionalFormatting sqref="P46">
    <cfRule type="cellIs" dxfId="55" priority="17" stopIfTrue="1" operator="lessThan">
      <formula>0</formula>
    </cfRule>
  </conditionalFormatting>
  <conditionalFormatting sqref="Q45">
    <cfRule type="cellIs" dxfId="54" priority="16" stopIfTrue="1" operator="lessThan">
      <formula>0</formula>
    </cfRule>
  </conditionalFormatting>
  <conditionalFormatting sqref="Q46">
    <cfRule type="cellIs" dxfId="53" priority="15" stopIfTrue="1" operator="lessThan">
      <formula>0</formula>
    </cfRule>
  </conditionalFormatting>
  <conditionalFormatting sqref="J47">
    <cfRule type="cellIs" dxfId="52" priority="14" stopIfTrue="1" operator="lessThan">
      <formula>0</formula>
    </cfRule>
  </conditionalFormatting>
  <conditionalFormatting sqref="J45">
    <cfRule type="cellIs" dxfId="51" priority="13" stopIfTrue="1" operator="lessThan">
      <formula>0</formula>
    </cfRule>
  </conditionalFormatting>
  <conditionalFormatting sqref="J46">
    <cfRule type="cellIs" dxfId="50" priority="12" stopIfTrue="1" operator="lessThan">
      <formula>0</formula>
    </cfRule>
  </conditionalFormatting>
  <conditionalFormatting sqref="K45">
    <cfRule type="cellIs" dxfId="49" priority="11" stopIfTrue="1" operator="lessThan">
      <formula>0</formula>
    </cfRule>
  </conditionalFormatting>
  <conditionalFormatting sqref="K46">
    <cfRule type="cellIs" dxfId="48" priority="10" stopIfTrue="1" operator="lessThan">
      <formula>0</formula>
    </cfRule>
  </conditionalFormatting>
  <conditionalFormatting sqref="AS5:AS7">
    <cfRule type="cellIs" dxfId="47" priority="9" stopIfTrue="1" operator="lessThan">
      <formula>0</formula>
    </cfRule>
  </conditionalFormatting>
  <conditionalFormatting sqref="AT5:AT7">
    <cfRule type="cellIs" dxfId="46" priority="8" stopIfTrue="1" operator="lessThan">
      <formula>0</formula>
    </cfRule>
  </conditionalFormatting>
  <conditionalFormatting sqref="AS12">
    <cfRule type="cellIs" dxfId="45" priority="7" stopIfTrue="1" operator="lessThan">
      <formula>0</formula>
    </cfRule>
  </conditionalFormatting>
  <conditionalFormatting sqref="AS23">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S26">
    <cfRule type="cellIs" dxfId="42" priority="4" stopIfTrue="1" operator="lessThan">
      <formula>0</formula>
    </cfRule>
  </conditionalFormatting>
  <conditionalFormatting sqref="AT26">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T2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38" sqref="B38"/>
    </sheetView>
  </sheetViews>
  <sheetFormatPr defaultColWidth="0" defaultRowHeight="12.75" zeroHeight="1" x14ac:dyDescent="0.2"/>
  <cols>
    <col min="1" max="1" width="1.7109375" style="148"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8"/>
    </row>
    <row r="5" spans="1:40" s="16" customFormat="1" x14ac:dyDescent="0.2">
      <c r="A5" s="148"/>
      <c r="B5" s="196" t="s">
        <v>310</v>
      </c>
      <c r="C5" s="124">
        <v>33705376</v>
      </c>
      <c r="D5" s="125">
        <v>43658131</v>
      </c>
      <c r="E5" s="352"/>
      <c r="F5" s="352"/>
      <c r="G5" s="318"/>
      <c r="H5" s="124">
        <v>90298496</v>
      </c>
      <c r="I5" s="125">
        <v>104194554</v>
      </c>
      <c r="J5" s="352"/>
      <c r="K5" s="352"/>
      <c r="L5" s="318"/>
      <c r="M5" s="124">
        <v>666406355</v>
      </c>
      <c r="N5" s="125">
        <v>670397500</v>
      </c>
      <c r="O5" s="352"/>
      <c r="P5" s="352"/>
      <c r="Q5" s="124"/>
      <c r="R5" s="125"/>
      <c r="S5" s="352"/>
      <c r="T5" s="352"/>
      <c r="U5" s="124"/>
      <c r="V5" s="125"/>
      <c r="W5" s="352"/>
      <c r="X5" s="352"/>
      <c r="Y5" s="124"/>
      <c r="Z5" s="125"/>
      <c r="AA5" s="352"/>
      <c r="AB5" s="352"/>
      <c r="AC5" s="353"/>
      <c r="AD5" s="352"/>
      <c r="AE5" s="352"/>
      <c r="AF5" s="352"/>
      <c r="AG5" s="353"/>
      <c r="AH5" s="352"/>
      <c r="AI5" s="352"/>
      <c r="AJ5" s="352"/>
      <c r="AK5" s="353"/>
      <c r="AL5" s="125"/>
      <c r="AM5" s="352"/>
      <c r="AN5" s="354"/>
    </row>
    <row r="6" spans="1:40" s="16" customFormat="1" ht="25.5" x14ac:dyDescent="0.2">
      <c r="A6" s="148"/>
      <c r="B6" s="197" t="s">
        <v>311</v>
      </c>
      <c r="C6" s="116">
        <v>33705376</v>
      </c>
      <c r="D6" s="117">
        <v>43658131</v>
      </c>
      <c r="E6" s="122">
        <f>SUM('[1]Pt 1 Summary of Data'!E$12,'[1]Pt 1 Summary of Data'!E$22)+SUM('[1]Pt 1 Summary of Data'!G$12,'[1]Pt 1 Summary of Data'!G$22)-SUM('[1]Pt 1 Summary of Data'!H$12,'[1]Pt 1 Summary of Data'!H$22)</f>
        <v>117577730</v>
      </c>
      <c r="F6" s="122">
        <f>SUM(C6:E6)</f>
        <v>194941237</v>
      </c>
      <c r="G6" s="123">
        <f>SUM('[1]Pt 1 Summary of Data'!I$12,'[1]Pt 1 Summary of Data'!I$22)</f>
        <v>111532663.31237812</v>
      </c>
      <c r="H6" s="116">
        <v>90298496</v>
      </c>
      <c r="I6" s="117">
        <v>104194554</v>
      </c>
      <c r="J6" s="122">
        <f>SUM('[1]Pt 1 Summary of Data'!K$12,'[1]Pt 1 Summary of Data'!K$22)+SUM('[1]Pt 1 Summary of Data'!M$12,'[1]Pt 1 Summary of Data'!M$22)-SUM('[1]Pt 1 Summary of Data'!N$12,'[1]Pt 1 Summary of Data'!N$22)</f>
        <v>89001483</v>
      </c>
      <c r="K6" s="122">
        <f>SUM(H6:J6)</f>
        <v>283494533</v>
      </c>
      <c r="L6" s="123">
        <f>SUM('[1]Pt 1 Summary of Data'!O$12,'[1]Pt 1 Summary of Data'!O$22)</f>
        <v>0</v>
      </c>
      <c r="M6" s="116">
        <v>666406355</v>
      </c>
      <c r="N6" s="117">
        <v>670397500</v>
      </c>
      <c r="O6" s="122">
        <f>SUM('[1]Pt 1 Summary of Data'!Q$12,'[1]Pt 1 Summary of Data'!Q$22)+SUM('[1]Pt 1 Summary of Data'!S$12,'[1]Pt 1 Summary of Data'!S$22)-SUM('[1]Pt 1 Summary of Data'!T$12,'[1]Pt 1 Summary of Data'!T$22)</f>
        <v>634024013</v>
      </c>
      <c r="P6" s="122">
        <f>SUM(M6:O6)</f>
        <v>1970827868</v>
      </c>
      <c r="Q6" s="116"/>
      <c r="R6" s="117"/>
      <c r="S6" s="122"/>
      <c r="T6" s="122"/>
      <c r="U6" s="116"/>
      <c r="V6" s="117"/>
      <c r="W6" s="122">
        <f>SUM('[1]Pt 1 Summary of Data'!Y$12,'[1]Pt 1 Summary of Data'!Y$22)</f>
        <v>0</v>
      </c>
      <c r="X6" s="122">
        <f>SUM(U6:W6)</f>
        <v>0</v>
      </c>
      <c r="Y6" s="116"/>
      <c r="Z6" s="117"/>
      <c r="AA6" s="122">
        <f>SUM('[1]Pt 1 Summary of Data'!AB$12,'[1]Pt 1 Summary of Data'!AB$22)</f>
        <v>0</v>
      </c>
      <c r="AB6" s="122">
        <f>SUM(Y6:AA6)</f>
        <v>0</v>
      </c>
      <c r="AC6" s="298"/>
      <c r="AD6" s="294"/>
      <c r="AE6" s="294"/>
      <c r="AF6" s="294"/>
      <c r="AG6" s="298"/>
      <c r="AH6" s="294"/>
      <c r="AI6" s="294"/>
      <c r="AJ6" s="294"/>
      <c r="AK6" s="298"/>
      <c r="AL6" s="117"/>
      <c r="AM6" s="122">
        <f>SUM('[1]Pt 1 Summary of Data'!AO$12,'[1]Pt 1 Summary of Data'!AO$22)+SUM('[1]Pt 1 Summary of Data'!AQ$12,'[1]Pt 1 Summary of Data'!AQ$22)-SUM('[1]Pt 1 Summary of Data'!AR$12,'[1]Pt 1 Summary of Data'!AR$22)</f>
        <v>0</v>
      </c>
      <c r="AN6" s="259">
        <f>IF(AM$37&lt;75000,AL6+AM6,AM6)</f>
        <v>0</v>
      </c>
    </row>
    <row r="7" spans="1:40" x14ac:dyDescent="0.2">
      <c r="B7" s="197" t="s">
        <v>312</v>
      </c>
      <c r="C7" s="116">
        <v>288657</v>
      </c>
      <c r="D7" s="117">
        <v>239131</v>
      </c>
      <c r="E7" s="122">
        <f>SUM('[1]Pt 1 Summary of Data'!E$37:E$41)+SUM('[1]Pt 1 Summary of Data'!G$37:G$41)-SUM('[1]Pt 1 Summary of Data'!H$37:H$41)+MAX(0,MIN('[1]Pt 1 Summary of Data'!E$42+'[1]Pt 1 Summary of Data'!G$42-'[1]Pt 1 Summary of Data'!H$42,0.3%*('[1]Pt 1 Summary of Data'!E$5+'[1]Pt 1 Summary of Data'!G$5-'[1]Pt 1 Summary of Data'!H$5-SUM(E$9:E$11))))</f>
        <v>547651</v>
      </c>
      <c r="F7" s="122">
        <f t="shared" ref="F7:F8" si="0">SUM(C7:E7)</f>
        <v>1075439</v>
      </c>
      <c r="G7" s="123">
        <f>SUM('[1]Pt 1 Summary of Data'!I$37:I$41)+MAX(0,MIN(VALUE('[1]Pt 1 Summary of Data'!I$42),0.3%*('[1]Pt 1 Summary of Data'!I$5-SUM(G$9:G$10))))</f>
        <v>362253.28424311895</v>
      </c>
      <c r="H7" s="116">
        <v>770449</v>
      </c>
      <c r="I7" s="117">
        <v>559555</v>
      </c>
      <c r="J7" s="122">
        <f>SUM('[1]Pt 1 Summary of Data'!K$37:K$41)+SUM('[1]Pt 1 Summary of Data'!M$37:M$41)-SUM('[1]Pt 1 Summary of Data'!N$37:N$41)+MAX(0,MIN('[1]Pt 1 Summary of Data'!K$42+'[1]Pt 1 Summary of Data'!M$42-'[1]Pt 1 Summary of Data'!N$42,0.3%*('[1]Pt 1 Summary of Data'!K$5+'[1]Pt 1 Summary of Data'!M$5-'[1]Pt 1 Summary of Data'!N$5-SUM(J$10:J$11))))</f>
        <v>407954</v>
      </c>
      <c r="K7" s="122">
        <f t="shared" ref="K7" si="1">SUM(H7:J7)</f>
        <v>1737958</v>
      </c>
      <c r="L7" s="123">
        <f>SUM('[1]Pt 1 Summary of Data'!O$37:O$41)+MAX(0,MIN(VALUE('[1]Pt 1 Summary of Data'!O$42),0.3%*('[1]Pt 1 Summary of Data'!O$5-L$10)))</f>
        <v>0</v>
      </c>
      <c r="M7" s="116">
        <v>5610669</v>
      </c>
      <c r="N7" s="117">
        <v>3738914</v>
      </c>
      <c r="O7" s="122">
        <f>SUM('[1]Pt 1 Summary of Data'!Q$37:Q$41)+SUM('[1]Pt 1 Summary of Data'!S$37:S$41)-SUM('[1]Pt 1 Summary of Data'!T$37:T$41)+MAX(0,MIN('[1]Pt 1 Summary of Data'!Q$42+'[1]Pt 1 Summary of Data'!S$42-'[1]Pt 1 Summary of Data'!T$42,0.3%*('[1]Pt 1 Summary of Data'!Q$5+'[1]Pt 1 Summary of Data'!S$5-'[1]Pt 1 Summary of Data'!T$5)))</f>
        <v>2862548</v>
      </c>
      <c r="P7" s="122">
        <f t="shared" ref="P7" si="2">SUM(M7:O7)</f>
        <v>12212131</v>
      </c>
      <c r="Q7" s="116"/>
      <c r="R7" s="117"/>
      <c r="S7" s="122"/>
      <c r="T7" s="122"/>
      <c r="U7" s="116"/>
      <c r="V7" s="117"/>
      <c r="W7" s="122">
        <f>SUM('[1]Pt 1 Summary of Data'!Y$37:Y$41)+MAX(0,MIN('[1]Pt 1 Summary of Data'!Y$42,0.3%*'[1]Pt 1 Summary of Data'!Y$5))</f>
        <v>0</v>
      </c>
      <c r="X7" s="122">
        <f t="shared" ref="X7" si="3">SUM(U7:W7)</f>
        <v>0</v>
      </c>
      <c r="Y7" s="116"/>
      <c r="Z7" s="117"/>
      <c r="AA7" s="122">
        <f>SUM('[1]Pt 1 Summary of Data'!AB$37:AB$41)+MAX(0,MIN('[1]Pt 1 Summary of Data'!AB$42,0.3%*'[1]Pt 1 Summary of Data'!AB$5))</f>
        <v>0</v>
      </c>
      <c r="AB7" s="122">
        <f t="shared" ref="AB7" si="4">SUM(Y7:AA7)</f>
        <v>0</v>
      </c>
      <c r="AC7" s="298"/>
      <c r="AD7" s="294"/>
      <c r="AE7" s="294"/>
      <c r="AF7" s="294"/>
      <c r="AG7" s="298"/>
      <c r="AH7" s="294"/>
      <c r="AI7" s="294"/>
      <c r="AJ7" s="294"/>
      <c r="AK7" s="298"/>
      <c r="AL7" s="117"/>
      <c r="AM7" s="122">
        <f>SUM('[1]Pt 1 Summary of Data'!AO$37:AO$41)+SUM('[1]Pt 1 Summary of Data'!AQ$37:AQ$41)-SUM('[1]Pt 1 Summary of Data'!AR$37:AR$41)+MAX(0,MIN('[1]Pt 1 Summary of Data'!AO$42+'[1]Pt 1 Summary of Data'!AQ$42-'[1]Pt 1 Summary of Data'!AR$42,0.3%*('[1]Pt 1 Summary of Data'!AO$5+'[1]Pt 1 Summary of Data'!AQ$5-'[1]Pt 1 Summary of Data'!AR$5)))</f>
        <v>0</v>
      </c>
      <c r="AN7" s="259">
        <f>IF(AM$37&lt;75000,AL7+AM7,AM7)</f>
        <v>0</v>
      </c>
    </row>
    <row r="8" spans="1:40" x14ac:dyDescent="0.2">
      <c r="B8" s="197" t="s">
        <v>483</v>
      </c>
      <c r="C8" s="299"/>
      <c r="D8" s="295"/>
      <c r="E8" s="275"/>
      <c r="F8" s="275">
        <f t="shared" si="0"/>
        <v>0</v>
      </c>
      <c r="G8" s="276">
        <v>8100000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2">
        <f>'[1]Pt 2 Premium and Claims'!E$15+'[1]Pt 2 Premium and Claims'!G$15-'[1]Pt 2 Premium and Claims'!H$15</f>
        <v>0</v>
      </c>
      <c r="F9" s="122">
        <f>SUM(C9:E9)</f>
        <v>0</v>
      </c>
      <c r="G9" s="123">
        <f>'[1]Pt 2 Premium and Claims'!I$15</f>
        <v>21307604</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2">
        <f>'[1]Pt 2 Premium and Claims'!E$16+'[1]Pt 2 Premium and Claims'!G$16-'[1]Pt 2 Premium and Claims'!H$16</f>
        <v>0</v>
      </c>
      <c r="F10" s="122">
        <f t="shared" ref="F10:F11" si="5">SUM(C10:E10)</f>
        <v>0</v>
      </c>
      <c r="G10" s="123">
        <f>'[1]Pt 2 Premium and Claims'!I$16</f>
        <v>-5466067.1299999999</v>
      </c>
      <c r="H10" s="298"/>
      <c r="I10" s="294"/>
      <c r="J10" s="122">
        <f>'[1]Pt 2 Premium and Claims'!K$16+'[1]Pt 2 Premium and Claims'!M$16-'[1]Pt 2 Premium and Claims'!N$16</f>
        <v>0</v>
      </c>
      <c r="K10" s="122">
        <f t="shared" ref="K10:K11" si="6">SUM(H10:J10)</f>
        <v>0</v>
      </c>
      <c r="L10" s="123">
        <f>'[1]Pt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2">
        <f>'[1]Pt 2 Premium and Claims'!E$17+'[1]Pt 2 Premium and Claims'!G$17-'[1]Pt 2 Premium and Claims'!H$17</f>
        <v>12515152.85204383</v>
      </c>
      <c r="F11" s="122">
        <f t="shared" si="5"/>
        <v>12515152.85204383</v>
      </c>
      <c r="G11" s="320"/>
      <c r="H11" s="298"/>
      <c r="I11" s="294"/>
      <c r="J11" s="122">
        <f>'[1]Pt 2 Premium and Claims'!K$17+'[1]Pt 2 Premium and Claims'!M$17-'[1]Pt 2 Premium and Claims'!N$17</f>
        <v>0</v>
      </c>
      <c r="K11" s="122">
        <f t="shared" si="6"/>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3" customFormat="1" x14ac:dyDescent="0.2">
      <c r="A12" s="149"/>
      <c r="B12" s="198" t="s">
        <v>317</v>
      </c>
      <c r="C12" s="121">
        <f>SUM(C$6:C$7)+IF(AND(OR('[1]Company Information'!$C$12="District of Columbia",'[1]Company Information'!$C$12="Massachusetts",'[1]Company Information'!$C$12="Vermont"),SUM($C$6:$F$11,$C$15:$F$16,$C$37:$D$37)&lt;&gt;0),SUM(H$6:H$7),0)</f>
        <v>33994033</v>
      </c>
      <c r="D12" s="122">
        <f>SUM(D$6:D$7)+IF(AND(OR('[1]Company Information'!$C$12="District of Columbia",'[1]Company Information'!$C$12="Massachusetts",'[1]Company Information'!$C$12="Vermont"),SUM($C$6:$F$11,$C$15:$F$16,$C$37:$D$37)&lt;&gt;0),SUM(I$6:I$7),0)</f>
        <v>43897262</v>
      </c>
      <c r="E12" s="122">
        <f>SUM(E$6:E$7)-SUM(E$8:E$11)+IF(AND(OR('[1]Company Information'!$C$12="District of Columbia",'[1]Company Information'!$C$12="Massachusetts",'[1]Company Information'!$C$12="Vermont"),SUM($C$6:$F$11,$C$15:$F$16,$C$37:$D$37)&lt;&gt;0),SUM(J$6:J$7)-SUM(J$10:J$11),0)</f>
        <v>105610228.14795616</v>
      </c>
      <c r="F12" s="122">
        <f>IFERROR(SUM(C$12:E$12)+C$17*MAX(0,E$49-C$49)+D$17*MAX(0,E$49-D$49),0)</f>
        <v>183501523.14795616</v>
      </c>
      <c r="G12" s="317"/>
      <c r="H12" s="121">
        <f>SUM(H$6:H$7)+IF(AND(OR('[1]Company Information'!$C$12="District of Columbia",'[1]Company Information'!$C$12="Massachusetts",'[1]Company Information'!$C$12="Vermont"),SUM($H$6:$K$11,$H$15:$K$16,$H$37:$I$37)&lt;&gt;0),SUM(C$6:C$7),0)</f>
        <v>91068945</v>
      </c>
      <c r="I12" s="122">
        <f>SUM(I$6:I$7)+IF(AND(OR('[1]Company Information'!$C$12="District of Columbia",'[1]Company Information'!$C$12="Massachusetts",'[1]Company Information'!$C$12="Vermont"),SUM($H$6:$K$11,$H$15:$K$16,$H$37:$I$37)&lt;&gt;0),SUM(D$6:D$7),0)</f>
        <v>104754109</v>
      </c>
      <c r="J12" s="122">
        <f>SUM(J$6:J$7)-SUM(J$10:J$11)+IF(AND(OR('[1]Company Information'!$C$12="District of Columbia",'[1]Company Information'!$C$12="Massachusetts",'[1]Company Information'!$C$12="Vermont"),SUM($H$6:$K$11,$H$15:$K$16,$H$37:$I$37)&lt;&gt;0),SUM(E$6:E$7)-SUM(E$8:E$11),0)</f>
        <v>89409437</v>
      </c>
      <c r="K12" s="122">
        <f>IFERROR(SUM(H$12:J$12)+H$17*MAX(0,J$49-H$49)+I$17*MAX(0,J$49-I$49),0)</f>
        <v>285232491</v>
      </c>
      <c r="L12" s="317"/>
      <c r="M12" s="121">
        <f>SUM(M$6:M$7)</f>
        <v>672017024</v>
      </c>
      <c r="N12" s="122">
        <f>SUM(N$6:N$7)</f>
        <v>674136414</v>
      </c>
      <c r="O12" s="122">
        <f>SUM(O$6:O$7)</f>
        <v>636886561</v>
      </c>
      <c r="P12" s="122">
        <f>SUM(M$12:O$12)+M$17*MAX(0,O$49-M$49)+N$17*MAX(0,O$49-N$49)</f>
        <v>1983039999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3" customFormat="1" ht="12.4" customHeight="1" x14ac:dyDescent="0.2">
      <c r="A13" s="149"/>
      <c r="B13" s="198" t="s">
        <v>318</v>
      </c>
      <c r="C13" s="299"/>
      <c r="D13" s="295"/>
      <c r="E13" s="295"/>
      <c r="F13" s="295"/>
      <c r="G13" s="317"/>
      <c r="H13" s="299"/>
      <c r="I13" s="295"/>
      <c r="J13" s="295"/>
      <c r="K13" s="295"/>
      <c r="L13" s="317"/>
      <c r="M13" s="299"/>
      <c r="N13" s="295"/>
      <c r="O13" s="295"/>
      <c r="P13" s="295"/>
      <c r="Q13" s="121"/>
      <c r="R13" s="122"/>
      <c r="S13" s="122"/>
      <c r="T13" s="122"/>
      <c r="U13" s="121">
        <f>1.75*(SUM(U$6:U$7)+IF(AND(OR('[1]Company Information'!$C$12="District of Columbia",'[1]Company Information'!$C$12="Massachusetts",'[1]Company Information'!$C$12="Vermont"),SUM($U$6:$X$7,$U$15:$X$16,$U$37:$V$37)&lt;&gt;0),SUM(Q$6:Q$7),0))</f>
        <v>0</v>
      </c>
      <c r="V13" s="122">
        <f>1.5*(SUM(V$6:V$7)+IF(AND(OR('[1]Company Information'!$C$12="District of Columbia",'[1]Company Information'!$C$12="Massachusetts",'[1]Company Information'!$C$12="Vermont"),SUM($U$6:$X$7,$U$15:$X$16,$U$37:$V$37)&lt;&gt;0),SUM(R$6:R$7),0))</f>
        <v>0</v>
      </c>
      <c r="W13" s="122">
        <f>1.25*(SUM(W$6:W$7)+IF(AND(OR('[1]Company Information'!$C$12="District of Columbia",'[1]Company Information'!$C$12="Massachusetts",'[1]Company Information'!$C$12="Vermont"),SUM($U$6:$X$7,$U$15:$X$16,$U$37:$V$37)&lt;&gt;0),SUM(S$6:S$7),0))</f>
        <v>0</v>
      </c>
      <c r="X13" s="122">
        <f>IFERROR(1.25*(SUM(X$6:X$7)+U$17*MAX(0,W$49-U$49)+V$17*MAX(0,W$49-V$49)+IF(AND(OR('[1]Company Information'!$C$12="District of Columbia",'[1]Company Information'!$C$12="Massachusetts",'[1]Company Information'!$C$12="Vermont"),SUM($U$6:$X$7,$U$15:$X$16,$U$37:$V$37)&lt;&gt;0),SUM(T$6:T$7),0)),0)</f>
        <v>0</v>
      </c>
      <c r="Y13" s="121">
        <f>1.75*SUM(Y$6:Y$7)</f>
        <v>0</v>
      </c>
      <c r="Z13" s="122">
        <f>1.5*SUM(Z$6:Z$7)</f>
        <v>0</v>
      </c>
      <c r="AA13" s="122">
        <f>1.25*SUM(AA$6:AA$7)</f>
        <v>0</v>
      </c>
      <c r="AB13" s="122">
        <f>1.25*(SUM(AB$6:AB$7)+Y$17*MAX(0,AA$49-Y$49)+Z$17*MAX(0,AA$49-Z$49))</f>
        <v>0</v>
      </c>
      <c r="AC13" s="298"/>
      <c r="AD13" s="294"/>
      <c r="AE13" s="294"/>
      <c r="AF13" s="294"/>
      <c r="AG13" s="298"/>
      <c r="AH13" s="294"/>
      <c r="AI13" s="294"/>
      <c r="AJ13" s="294"/>
      <c r="AK13" s="298"/>
      <c r="AL13" s="122">
        <f>1.15*SUM(AL$6:AL$7)</f>
        <v>0</v>
      </c>
      <c r="AM13" s="122">
        <f>SUM(AM$6:AM$7)</f>
        <v>0</v>
      </c>
      <c r="AN13" s="259">
        <f>SUM(AN$6:AN$7)</f>
        <v>0</v>
      </c>
    </row>
    <row r="14" spans="1:40" ht="16.5" x14ac:dyDescent="0.25">
      <c r="B14" s="185"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8"/>
    </row>
    <row r="15" spans="1:40" ht="25.5" x14ac:dyDescent="0.2">
      <c r="B15" s="199" t="s">
        <v>486</v>
      </c>
      <c r="C15" s="124">
        <v>37851339</v>
      </c>
      <c r="D15" s="125">
        <v>45859268</v>
      </c>
      <c r="E15" s="113">
        <f>SUM('[1]Pt 1 Summary of Data'!E$5:E$7)+SUM('[1]Pt 1 Summary of Data'!G$5:G$7)-SUM('[1]Pt 1 Summary of Data'!H$5:H$7)-SUM(E$9:E$11)+D$55</f>
        <v>115893708</v>
      </c>
      <c r="F15" s="113">
        <f t="shared" ref="F15:F16" si="7">SUM(C15:E15)</f>
        <v>199604315</v>
      </c>
      <c r="G15" s="114">
        <f>SUM('[1]Pt 1 Summary of Data'!I$5:I$7)-SUM(G$9:G$10)</f>
        <v>85847195.290000007</v>
      </c>
      <c r="H15" s="124">
        <v>100678162</v>
      </c>
      <c r="I15" s="125">
        <v>104847362</v>
      </c>
      <c r="J15" s="113">
        <f>SUM('[1]Pt 1 Summary of Data'!K$5:K$7)+SUM('[1]Pt 1 Summary of Data'!M$5:M$7)-SUM('[1]Pt 1 Summary of Data'!N$5:N$7)-SUM(J$10:J$11)+I$55</f>
        <v>106221496</v>
      </c>
      <c r="K15" s="113">
        <f t="shared" ref="K15:K16" si="8">SUM(H15:J15)</f>
        <v>311747020</v>
      </c>
      <c r="L15" s="114">
        <v>0</v>
      </c>
      <c r="M15" s="124">
        <v>724337383</v>
      </c>
      <c r="N15" s="125">
        <v>735976283</v>
      </c>
      <c r="O15" s="113">
        <f>SUM('[1]Pt 1 Summary of Data'!Q$5:Q$7)+SUM('[1]Pt 1 Summary of Data'!S$5:S$7)-SUM('[1]Pt 1 Summary of Data'!T$5:T$7)+N$55</f>
        <v>729100047</v>
      </c>
      <c r="P15" s="113">
        <f t="shared" ref="P15:P16" si="9">SUM(M15:O15)</f>
        <v>2189413713</v>
      </c>
      <c r="Q15" s="124"/>
      <c r="R15" s="125"/>
      <c r="S15" s="113">
        <f>SUM('[1]Pt 1 Summary of Data'!V$5:V$7)+R$55</f>
        <v>0</v>
      </c>
      <c r="T15" s="113">
        <f t="shared" ref="T15:T16" si="10">SUM(Q15:S15)</f>
        <v>0</v>
      </c>
      <c r="U15" s="124"/>
      <c r="V15" s="125"/>
      <c r="W15" s="113">
        <f>SUM('[1]Pt 1 Summary of Data'!Y$5:Y$7)+V$55</f>
        <v>0</v>
      </c>
      <c r="X15" s="113">
        <f t="shared" ref="X15:X16" si="11">SUM(U15:W15)</f>
        <v>0</v>
      </c>
      <c r="Y15" s="124"/>
      <c r="Z15" s="125"/>
      <c r="AA15" s="113">
        <f>SUM('[1]Pt 1 Summary of Data'!AB$5:AB$7)+Z$55</f>
        <v>0</v>
      </c>
      <c r="AB15" s="113">
        <f t="shared" ref="AB15:AB16" si="12">SUM(Y15:AA15)</f>
        <v>0</v>
      </c>
      <c r="AC15" s="353"/>
      <c r="AD15" s="352"/>
      <c r="AE15" s="352"/>
      <c r="AF15" s="352"/>
      <c r="AG15" s="353"/>
      <c r="AH15" s="352"/>
      <c r="AI15" s="352"/>
      <c r="AJ15" s="352"/>
      <c r="AK15" s="353"/>
      <c r="AL15" s="125"/>
      <c r="AM15" s="113">
        <f>SUM('[1]Pt 1 Summary of Data'!AO$5:AO$7)+SUM('[1]Pt 1 Summary of Data'!AQ$5:AQ$7)-SUM('[1]Pt 1 Summary of Data'!AR$5:AR$7)+AL$55</f>
        <v>0</v>
      </c>
      <c r="AN15" s="260">
        <f>IF(AM$37&lt;75000,AL15+AM15,AM15)</f>
        <v>0</v>
      </c>
    </row>
    <row r="16" spans="1:40" x14ac:dyDescent="0.2">
      <c r="B16" s="197" t="s">
        <v>313</v>
      </c>
      <c r="C16" s="116">
        <v>231738</v>
      </c>
      <c r="D16" s="117">
        <v>-142925</v>
      </c>
      <c r="E16" s="122">
        <f>SUM('[1]Pt 1 Summary of Data'!E$25:E$28,'[1]Pt 1 Summary of Data'!E$30,'[1]Pt 1 Summary of Data'!E$34:E$35)+SUM('[1]Pt 1 Summary of Data'!G$25:G$28,'[1]Pt 1 Summary of Data'!G$30,'[1]Pt 1 Summary of Data'!G$34:G$35)-SUM('[1]Pt 1 Summary of Data'!H$25:H$28,'[1]Pt 1 Summary of Data'!H$30,'[1]Pt 1 Summary of Data'!H$34:H$35)+IF('[1]Company Information'!$C$15="No",IF(MAX('[1]Pt 1 Summary of Data'!E$31:E$32)=0,MIN('[1]Pt 1 Summary of Data'!E$31:E$32),MAX('[1]Pt 1 Summary of Data'!E$31:E$32))+IF(MAX('[1]Pt 1 Summary of Data'!G$31:G$32)=0,MIN('[1]Pt 1 Summary of Data'!G$31:G$32),MAX('[1]Pt 1 Summary of Data'!G$31:G$32))-IF(MAX('[1]Pt 1 Summary of Data'!H$31:H$32)=0,MIN('[1]Pt 1 Summary of Data'!H$31:H$32),MAX('[1]Pt 1 Summary of Data'!H$31:H$32)),SUM('[1]Pt 1 Summary of Data'!E$31:E$32)+SUM('[1]Pt 1 Summary of Data'!G$31:G$32)-SUM('[1]Pt 1 Summary of Data'!H$31:H$32))+D$56</f>
        <v>3433250.4600000004</v>
      </c>
      <c r="F16" s="122">
        <f t="shared" si="7"/>
        <v>3522063.4600000004</v>
      </c>
      <c r="G16" s="123">
        <f>SUM('[1]Pt 1 Summary of Data'!I$25:I$28,'[1]Pt 1 Summary of Data'!I$30,'[1]Pt 1 Summary of Data'!I$34:I$35)+IF('[1]Company Information'!$C$15="No",IF(MAX('[1]Pt 1 Summary of Data'!I$31:I$32)=0,MIN('[1]Pt 1 Summary of Data'!I$31:I$32),MAX('[1]Pt 1 Summary of Data'!I$31:I$32)),SUM('[1]Pt 1 Summary of Data'!I$31:I$32))</f>
        <v>2273651.3550892458</v>
      </c>
      <c r="H16" s="116">
        <v>616464</v>
      </c>
      <c r="I16" s="117">
        <v>-326790</v>
      </c>
      <c r="J16" s="122">
        <f>SUM('[1]Pt 1 Summary of Data'!K$25:K$28,'[1]Pt 1 Summary of Data'!K$30,'[1]Pt 1 Summary of Data'!K$34:K$35)+SUM('[1]Pt 1 Summary of Data'!M$25:M$28,'[1]Pt 1 Summary of Data'!M$30,'[1]Pt 1 Summary of Data'!M$34:M$35)-SUM('[1]Pt 1 Summary of Data'!N$25:N$28,'[1]Pt 1 Summary of Data'!N$30,'[1]Pt 1 Summary of Data'!N$34:N$35)+IF('[1]Company Information'!$C$15="No",IF(MAX('[1]Pt 1 Summary of Data'!K$31:K$32)=0,MIN('[1]Pt 1 Summary of Data'!K$31:K$32),MAX('[1]Pt 1 Summary of Data'!K$31:K$32))+IF(MAX('[1]Pt 1 Summary of Data'!M$31:M$32)=0,MIN('[1]Pt 1 Summary of Data'!M$31:M$32),MAX('[1]Pt 1 Summary of Data'!M$31:M$32))-IF(MAX('[1]Pt 1 Summary of Data'!N$31:N$32)=0,MIN('[1]Pt 1 Summary of Data'!N$31:N$32),MAX('[1]Pt 1 Summary of Data'!N$31:N$32)),SUM('[1]Pt 1 Summary of Data'!K$31:K$32)+SUM('[1]Pt 1 Summary of Data'!M$31:M$32)-SUM('[1]Pt 1 Summary of Data'!N$31:N$32))+I$56</f>
        <v>3144633.4075414538</v>
      </c>
      <c r="K16" s="122">
        <f t="shared" si="8"/>
        <v>3434307.4075414538</v>
      </c>
      <c r="L16" s="123">
        <v>0</v>
      </c>
      <c r="M16" s="116">
        <v>4435195</v>
      </c>
      <c r="N16" s="117">
        <v>-2313470</v>
      </c>
      <c r="O16" s="122">
        <f>SUM('[1]Pt 1 Summary of Data'!Q$25:Q$28,'[1]Pt 1 Summary of Data'!Q$30,'[1]Pt 1 Summary of Data'!Q$34:Q$35)+SUM('[1]Pt 1 Summary of Data'!S$25:S$28,'[1]Pt 1 Summary of Data'!S$30,'[1]Pt 1 Summary of Data'!S$34:S$35)-SUM('[1]Pt 1 Summary of Data'!T$25:T$28,'[1]Pt 1 Summary of Data'!T$30,'[1]Pt 1 Summary of Data'!T$34:T$35)+IF('[1]Company Information'!$C$15="No",IF(MAX('[1]Pt 1 Summary of Data'!Q$31:Q$32)=0,MIN('[1]Pt 1 Summary of Data'!Q$31:Q$32),MAX('[1]Pt 1 Summary of Data'!Q$31:Q$32))+IF(MAX('[1]Pt 1 Summary of Data'!S$31:S$32)=0,MIN('[1]Pt 1 Summary of Data'!S$31:S$32),MAX('[1]Pt 1 Summary of Data'!S$31:S$32))-IF(MAX('[1]Pt 1 Summary of Data'!T$31:T$32)=0,MIN('[1]Pt 1 Summary of Data'!T$31:T$32),MAX('[1]Pt 1 Summary of Data'!T$31:T$32)),SUM('[1]Pt 1 Summary of Data'!Q$31:Q$32)+SUM('[1]Pt 1 Summary of Data'!S$31:S$32)-SUM('[1]Pt 1 Summary of Data'!T$31:T$32))+N$56</f>
        <v>21585141</v>
      </c>
      <c r="P16" s="122">
        <f t="shared" si="9"/>
        <v>23706866</v>
      </c>
      <c r="Q16" s="116"/>
      <c r="R16" s="117"/>
      <c r="S16" s="122">
        <f>SUM('[1]Pt 1 Summary of Data'!V$25:V$28,'[1]Pt 1 Summary of Data'!V$30,'[1]Pt 1 Summary of Data'!V$34:V$35)+IF('[1]Company Information'!$C$15="No",IF(MAX('[1]Pt 1 Summary of Data'!V$31:V$32)=0,MIN('[1]Pt 1 Summary of Data'!V$31:V$32),MAX('[1]Pt 1 Summary of Data'!V$31:V$32)),SUM('[1]Pt 1 Summary of Data'!V$31:V$32))+R$56</f>
        <v>0</v>
      </c>
      <c r="T16" s="122">
        <f t="shared" si="10"/>
        <v>0</v>
      </c>
      <c r="U16" s="116"/>
      <c r="V16" s="117"/>
      <c r="W16" s="122">
        <f>SUM('[1]Pt 1 Summary of Data'!Y$25:Y$28,'[1]Pt 1 Summary of Data'!Y$30,'[1]Pt 1 Summary of Data'!Y$34:Y$35)+IF('[1]Company Information'!$C$15="No",IF(MAX('[1]Pt 1 Summary of Data'!Y$31:Y$32)=0,MIN('[1]Pt 1 Summary of Data'!Y$31:Y$32),MAX('[1]Pt 1 Summary of Data'!Y$31:Y$32)),SUM('[1]Pt 1 Summary of Data'!Y$31:Y$32))+V$56</f>
        <v>0</v>
      </c>
      <c r="X16" s="122">
        <f t="shared" si="11"/>
        <v>0</v>
      </c>
      <c r="Y16" s="116"/>
      <c r="Z16" s="117"/>
      <c r="AA16" s="122">
        <f>SUM('[1]Pt 1 Summary of Data'!AB$25:AB$28,'[1]Pt 1 Summary of Data'!AB$30,'[1]Pt 1 Summary of Data'!AB$34:AB$35)+IF('[1]Company Information'!$C$15="No",IF(MAX('[1]Pt 1 Summary of Data'!AB$31:AB$32)=0,MIN('[1]Pt 1 Summary of Data'!AB$31:AB$32),MAX('[1]Pt 1 Summary of Data'!AB$31:AB$32)),SUM('[1]Pt 1 Summary of Data'!AB$31:AB$32))+Z$56</f>
        <v>0</v>
      </c>
      <c r="AB16" s="122">
        <f t="shared" si="12"/>
        <v>0</v>
      </c>
      <c r="AC16" s="298"/>
      <c r="AD16" s="294"/>
      <c r="AE16" s="294"/>
      <c r="AF16" s="294"/>
      <c r="AG16" s="298"/>
      <c r="AH16" s="294"/>
      <c r="AI16" s="294"/>
      <c r="AJ16" s="294"/>
      <c r="AK16" s="298"/>
      <c r="AL16" s="117"/>
      <c r="AM16" s="122">
        <f>SUM('[1]Pt 1 Summary of Data'!AO$25:AO$28,'[1]Pt 1 Summary of Data'!AO$30,'[1]Pt 1 Summary of Data'!AO$34:AO$35)+SUM('[1]Pt 1 Summary of Data'!AQ$25:AQ$28,'[1]Pt 1 Summary of Data'!AQ$30,'[1]Pt 1 Summary of Data'!AQ$34:AQ$35)-SUM('[1]Pt 1 Summary of Data'!AR$25:AR$28,'[1]Pt 1 Summary of Data'!AR$30,'[1]Pt 1 Summary of Data'!AR$34:AR$35)+IF('[1]Company Information'!$C$15="No",IF(MAX('[1]Pt 1 Summary of Data'!AO$31:AO$32)=0,MIN('[1]Pt 1 Summary of Data'!AO$31:AO$32),MAX('[1]Pt 1 Summary of Data'!AO$31:AO$32))+IF(MAX('[1]Pt 1 Summary of Data'!AQ$31:AQ$32)=0,MIN('[1]Pt 1 Summary of Data'!AQ$31:AQ$32),MAX('[1]Pt 1 Summary of Data'!AQ$31:AQ$32))-IF(MAX('[1]Pt 1 Summary of Data'!AR$31:AR$32)=0,MIN('[1]Pt 1 Summary of Data'!AR$31:AR$32),MAX('[1]Pt 1 Summary of Data'!AR$31:AR$32)),SUM('[1]Pt 1 Summary of Data'!AO$31:AO$32)+SUM('[1]Pt 1 Summary of Data'!AQ$31:AQ$32)-SUM('[1]Pt 1 Summary of Data'!AR$31:AR$32))+AL$56</f>
        <v>0</v>
      </c>
      <c r="AN16" s="259">
        <f>IF(AM$37&lt;75000,AL16+AM16,AM16)</f>
        <v>0</v>
      </c>
    </row>
    <row r="17" spans="1:40" s="83" customFormat="1" x14ac:dyDescent="0.2">
      <c r="A17" s="149"/>
      <c r="B17" s="198" t="s">
        <v>320</v>
      </c>
      <c r="C17" s="121">
        <f>C$15-C$16+IF(AND(OR('[1]Company Information'!$C$12="District of Columbia",'[1]Company Information'!$C$12="Massachusetts",'[1]Company Information'!$C$12="Vermont"),SUM($C$6:$F$11,$C$15:$F$16,$C$37:$D$37)&lt;&gt;0),H$15-H$16,0)</f>
        <v>37619601</v>
      </c>
      <c r="D17" s="122">
        <f>D$15-D$16+IF(AND(OR('[1]Company Information'!$C$12="District of Columbia",'[1]Company Information'!$C$12="Massachusetts",'[1]Company Information'!$C$12="Vermont"),SUM($C$6:$F$11,$C$15:$F$16,$C$37:$D$37)&lt;&gt;0),I$15-I$16,0)</f>
        <v>46002193</v>
      </c>
      <c r="E17" s="122">
        <f>E$15-E$16+IF(AND(OR('[1]Company Information'!$C$12="District of Columbia",'[1]Company Information'!$C$12="Massachusetts",'[1]Company Information'!$C$12="Vermont"),SUM($C$6:$F$11,$C$15:$F$16,$C$37:$D$37)&lt;&gt;0),J$15-J$16,0)</f>
        <v>112460457.54000001</v>
      </c>
      <c r="F17" s="122">
        <f>F$15-F$16+IF(AND(OR('[1]Company Information'!$C$12="District of Columbia",'[1]Company Information'!$C$12="Massachusetts",'[1]Company Information'!$C$12="Vermont"),SUM($C$6:$F$11,$C$15:$F$16,$C$37:$D$37)&lt;&gt;0),K$15-K$16,0)</f>
        <v>196082251.53999999</v>
      </c>
      <c r="G17" s="320"/>
      <c r="H17" s="121">
        <f>H$15-H$16+IF(AND(OR('[1]Company Information'!$C$12="District of Columbia",'[1]Company Information'!$C$12="Massachusetts",'[1]Company Information'!$C$12="Vermont"),SUM($H$6:$K$11,$H$15:$K$16,$H$37:$I$37)&lt;&gt;0),C$15-C$16,0)</f>
        <v>100061698</v>
      </c>
      <c r="I17" s="122">
        <f>I$15-I$16+IF(AND(OR('[1]Company Information'!$C$12="District of Columbia",'[1]Company Information'!$C$12="Massachusetts",'[1]Company Information'!$C$12="Vermont"),SUM($H$6:$K$11,$H$15:$K$16,$H$37:$I$37)&lt;&gt;0),D$15-D$16,0)</f>
        <v>105174152</v>
      </c>
      <c r="J17" s="122">
        <f>J$15-J$16+IF(AND(OR('[1]Company Information'!$C$12="District of Columbia",'[1]Company Information'!$C$12="Massachusetts",'[1]Company Information'!$C$12="Vermont"),SUM($H$6:$K$11,$H$15:$K$16,$H$37:$I$37)&lt;&gt;0),E$15-E$16,0)</f>
        <v>103076862.59245855</v>
      </c>
      <c r="K17" s="122">
        <f>K$15-K$16+IF(AND(OR('[1]Company Information'!$C$12="District of Columbia",'[1]Company Information'!$C$12="Massachusetts",'[1]Company Information'!$C$12="Vermont"),SUM($H$6:$K$11,$H$15:$K$16,$H$37:$I$37)&lt;&gt;0),F$15-F$16,0)</f>
        <v>308312712.59245855</v>
      </c>
      <c r="L17" s="320"/>
      <c r="M17" s="121">
        <f>M$15-M$16</f>
        <v>719902188</v>
      </c>
      <c r="N17" s="122">
        <f t="shared" ref="N17:P17" si="13">N$15-N$16</f>
        <v>738289753</v>
      </c>
      <c r="O17" s="122">
        <f t="shared" si="13"/>
        <v>707514906</v>
      </c>
      <c r="P17" s="122">
        <f t="shared" si="13"/>
        <v>2165706847</v>
      </c>
      <c r="Q17" s="121"/>
      <c r="R17" s="122"/>
      <c r="S17" s="122">
        <f>S$15-S$16+IF(AND(OR('[1]Company Information'!$C$12="District of Columbia",'[1]Company Information'!$C$12="Massachusetts",'[1]Company Information'!$C$12="Vermont"),SUM($Q$6:$T$7,$Q$15:$T$16,$Q$37:$R$37)&lt;&gt;0),W$15-W$16,0)</f>
        <v>0</v>
      </c>
      <c r="T17" s="122">
        <f>T$15-T$16+IF(AND(OR('[1]Company Information'!$C$12="District of Columbia",'[1]Company Information'!$C$12="Massachusetts",'[1]Company Information'!$C$12="Vermont"),SUM($Q$6:$T$7,$Q$15:$T$16,$Q$37:$R$37)&lt;&gt;0),X$15-X$16,0)</f>
        <v>0</v>
      </c>
      <c r="U17" s="121">
        <f>U$15-U$16+IF(AND(OR('[1]Company Information'!$C$12="District of Columbia",'[1]Company Information'!$C$12="Massachusetts",'[1]Company Information'!$C$12="Vermont"),SUM($U$6:$X$7,$U$15:$X$16,$U$37:$V$37)&lt;&gt;0),Q$15-Q$16,0)</f>
        <v>0</v>
      </c>
      <c r="V17" s="122">
        <f>V$15-V$16+IF(AND(OR('[1]Company Information'!$C$12="District of Columbia",'[1]Company Information'!$C$12="Massachusetts",'[1]Company Information'!$C$12="Vermont"),SUM($U$6:$X$7,$U$15:$X$16,$U$37:$V$37)&lt;&gt;0),R$15-R$16,0)</f>
        <v>0</v>
      </c>
      <c r="W17" s="122">
        <f>W$15-W$16+IF(AND(OR('[1]Company Information'!$C$12="District of Columbia",'[1]Company Information'!$C$12="Massachusetts",'[1]Company Information'!$C$12="Vermont"),SUM($U$6:$X$7,$U$15:$X$16,$U$37:$V$37)&lt;&gt;0),S$15-S$16,0)</f>
        <v>0</v>
      </c>
      <c r="X17" s="122">
        <f>X$15-X$16+IF(AND(OR('[1]Company Information'!$C$12="District of Columbia",'[1]Company Information'!$C$12="Massachusetts",'[1]Company Information'!$C$12="Vermont"),SUM($U$6:$X$7,$U$15:$X$16,$U$37:$V$37)&lt;&gt;0),T$15-T$16,0)</f>
        <v>0</v>
      </c>
      <c r="Y17" s="121">
        <f t="shared" ref="Y17:Z17" si="14">Y$15-Y$16</f>
        <v>0</v>
      </c>
      <c r="Z17" s="122">
        <f t="shared" si="14"/>
        <v>0</v>
      </c>
      <c r="AA17" s="122">
        <f>AA$15-AA$16</f>
        <v>0</v>
      </c>
      <c r="AB17" s="122">
        <f>AB$15-AB$16</f>
        <v>0</v>
      </c>
      <c r="AC17" s="298"/>
      <c r="AD17" s="294"/>
      <c r="AE17" s="294"/>
      <c r="AF17" s="294"/>
      <c r="AG17" s="298"/>
      <c r="AH17" s="294"/>
      <c r="AI17" s="294"/>
      <c r="AJ17" s="294"/>
      <c r="AK17" s="298"/>
      <c r="AL17" s="122">
        <f t="shared" ref="AL17:AN17" si="15">AL$15-AL$16</f>
        <v>0</v>
      </c>
      <c r="AM17" s="122">
        <f t="shared" si="15"/>
        <v>0</v>
      </c>
      <c r="AN17" s="259">
        <f t="shared" si="15"/>
        <v>0</v>
      </c>
    </row>
    <row r="18" spans="1:40" ht="16.5" x14ac:dyDescent="0.25">
      <c r="B18" s="185"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8"/>
    </row>
    <row r="19" spans="1:40" x14ac:dyDescent="0.2">
      <c r="B19" s="200" t="s">
        <v>469</v>
      </c>
      <c r="C19" s="353"/>
      <c r="D19" s="352"/>
      <c r="E19" s="352"/>
      <c r="F19" s="352"/>
      <c r="G19" s="114">
        <f>SUM(G$6:G$7)-SUM(G$8:G$10)+IF(AND(OR('[1]Company Information'!$C$12="District of Columbia",'[1]Company Information'!$C$12="Massachusetts",'[1]Company Information'!$C$12="Vermont"),SUM($G$6:$G$10,$G$15:$G$16)&lt;&gt;0),SUM(L$6:L$7)-L$10,0)</f>
        <v>87953379.72662124</v>
      </c>
      <c r="H19" s="353"/>
      <c r="I19" s="352"/>
      <c r="J19" s="352"/>
      <c r="K19" s="352"/>
      <c r="L19" s="114">
        <f>SUM(L$6:L$7)-L$10+IF(AND(OR('[1]Company Information'!$C$12="District of Columbia",'[1]Company Information'!$C$12="Massachusetts",'[1]Company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3">
        <f>SUM('[1]Pt 1 Summary of Data'!I$44:I$47,'[1]Pt 1 Summary of Data'!I$49:I$51)+IF(AND(OR('[1]Company Information'!$C$12="District of Columbia",'[1]Company Information'!$C$12="Massachusetts",'[1]Company Information'!$C$12="Vermont"),SUM($G$6:$G$10,$G$15:$G$16)&lt;&gt;0),SUM('[1]Pt 1 Summary of Data'!O$44:O$47,'[1]Pt 1 Summary of Data'!O$49:O$51),0)</f>
        <v>14257379.919508113</v>
      </c>
      <c r="H20" s="298"/>
      <c r="I20" s="294"/>
      <c r="J20" s="294"/>
      <c r="K20" s="294"/>
      <c r="L20" s="123">
        <f>SUM('[1]Pt 1 Summary of Data'!O$44:O$47,'[1]Pt 1 Summary of Data'!O$49:O$51)+IF(AND(OR('[1]Company Information'!$C$12="District of Columbia",'[1]Company Information'!$C$12="Massachusetts",'[1]Company Information'!$C$12="Vermont"),SUM($L$6:$L$10,$L$15:$L$16)&lt;&gt;0),SUM('[1]Pt 1 Summary of Data'!I$44:I$47,'[1]Pt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IF(G$15-G$16+IF(AND(OR('[1]Company Information'!$C$12="District of Columbia",'[1]Company Information'!$C$12="Massachusetts",'[1]Company Information'!$C$12="Vermont"),SUM($G$6:$G$10,$G$15:$G$16)&lt;&gt;0),L$15-L$16,0)=0,0,G$19/(G$15-G$16+IF(AND(OR('[1]Company Information'!$C$12="District of Columbia",'[1]Company Information'!$C$12="Massachusetts",'[1]Company Information'!$C$12="Vermont"),SUM($G$6:$G$10,$G$15:$G$16)&lt;&gt;0),L$15-L$16,0)))</f>
        <v>1.0524069649974592</v>
      </c>
      <c r="H21" s="298"/>
      <c r="I21" s="294"/>
      <c r="J21" s="294"/>
      <c r="K21" s="294"/>
      <c r="L21" s="261">
        <f>IF(L$15-L$16+IF(AND(OR('[1]Company Information'!$C$12="District of Columbia",'[1]Company Information'!$C$12="Massachusetts",'[1]Company Information'!$C$12="Vermont"),SUM($L$6:$L$10,$L$15:$L$16)&lt;&gt;0),G$15-G$16,0)=0,0,L$19/(L$15-L$16+IF(AND(OR('[1]Company Information'!$C$12="District of Columbia",'[1]Company Information'!$C$12="Massachusetts",'[1]Company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5.1999999999999998E-2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3">
        <f>MAX(MAX(0,G$24),MAX(0,G$25))</f>
        <v>6853030.6026626816</v>
      </c>
      <c r="H23" s="298"/>
      <c r="I23" s="294"/>
      <c r="J23" s="294"/>
      <c r="K23" s="294"/>
      <c r="L23" s="123">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3">
        <f>G$15-G$19-G$16-G$20+IF(AND(OR('[1]Company Information'!$C$12="District of Columbia",'[1]Company Information'!$C$12="Massachusetts",'[1]Company Information'!$C$12="Vermont"),SUM($G$6:$G$10,$G$15:$G$16)&lt;&gt;0),L$15-L$16,0)</f>
        <v>-18637215.711218592</v>
      </c>
      <c r="H24" s="298"/>
      <c r="I24" s="294"/>
      <c r="J24" s="294"/>
      <c r="K24" s="294"/>
      <c r="L24" s="123">
        <f>L$15-L$19-L$16-L$20+IF(AND(OR('[1]Company Information'!$C$12="District of Columbia",'[1]Company Information'!$C$12="Massachusetts",'[1]Company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3">
        <f>(3%+G$22)*(G$15-G$16+IF(AND(OR('[1]Company Information'!$C$12="District of Columbia",'[1]Company Information'!$C$12="Massachusetts",'[1]Company Information'!$C$12="Vermont"),SUM($G$6:$G$10,$G$15:$G$16)&lt;&gt;0),L$15-L$16,0))</f>
        <v>6853030.6026626816</v>
      </c>
      <c r="H25" s="298"/>
      <c r="I25" s="294"/>
      <c r="J25" s="294"/>
      <c r="K25" s="294"/>
      <c r="L25" s="123">
        <f>(3%+L$22)*(L$15-L$16+IF(AND(OR('[1]Company Information'!$C$12="District of Columbia",'[1]Company Information'!$C$12="Massachusetts",'[1]Company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3">
        <f>MIN(MAX(0,G$27),MAX(0,G$28))</f>
        <v>23384061.87726004</v>
      </c>
      <c r="H26" s="298"/>
      <c r="I26" s="294"/>
      <c r="J26" s="294"/>
      <c r="K26" s="294"/>
      <c r="L26" s="123">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3">
        <f>G$20+G$23+G$16+IF(AND(OR('[1]Company Information'!$C$12="District of Columbia",'[1]Company Information'!$C$12="Massachusetts",'[1]Company Information'!$C$12="Vermont"),SUM($G$6:$G$10,$G$15:$G$16)&lt;&gt;0),L$16,0)</f>
        <v>23384061.87726004</v>
      </c>
      <c r="H27" s="298"/>
      <c r="I27" s="294"/>
      <c r="J27" s="294"/>
      <c r="K27" s="294"/>
      <c r="L27" s="123">
        <f>L$20+L$23+L$16+IF(AND(OR('[1]Company Information'!$C$12="District of Columbia",'[1]Company Information'!$C$12="Massachusetts",'[1]Company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3">
        <f>G20+G25+G16</f>
        <v>23384061.87726004</v>
      </c>
      <c r="H28" s="298"/>
      <c r="I28" s="294"/>
      <c r="J28" s="294"/>
      <c r="K28" s="294"/>
      <c r="L28" s="123">
        <f>(20%+L$22)*(L$15-L$16+IF(AND(OR('[1]Company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3">
        <f>20%*(G$15-G$16+IF(AND(OR('[1]Company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18988360.1420714</v>
      </c>
      <c r="H29" s="298"/>
      <c r="I29" s="294"/>
      <c r="J29" s="294"/>
      <c r="K29" s="294"/>
      <c r="L29" s="123">
        <f>20%*(L$15-L$16+IF(AND(OR('[1]Company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3">
        <f>G$15+IF(AND(OR('[1]Company Information'!$C$12="District of Columbia",'[1]Company Information'!$C$12="Massachusetts",'[1]Company Information'!$C$12="Vermont"),SUM($G$6:$G$10,$G$15:$G$16)&lt;&gt;0),L$15,0)-G$26</f>
        <v>62463133.412739962</v>
      </c>
      <c r="H30" s="298"/>
      <c r="I30" s="294"/>
      <c r="J30" s="294"/>
      <c r="K30" s="294"/>
      <c r="L30" s="123">
        <f>L$15+IF(AND(OR('[1]Company Information'!$C$12="District of Columbia",'[1]Company Information'!$C$12="Massachusetts",'[1]Company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3">
        <f>MIN(MAX(0,G$27),MAX(0,G$29))</f>
        <v>18988360.1420714</v>
      </c>
      <c r="H31" s="298"/>
      <c r="I31" s="294"/>
      <c r="J31" s="294"/>
      <c r="K31" s="294"/>
      <c r="L31" s="123">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3">
        <f>G$15+IF(AND(OR('[1]Company Information'!$C$12="District of Columbia",'[1]Company Information'!$C$12="Massachusetts",'[1]Company Information'!$C$12="Vermont"),SUM($G$6:$G$10,$G$15:$G$16)&lt;&gt;0),L$15,0)-G$31</f>
        <v>66858835.14792861</v>
      </c>
      <c r="H32" s="298"/>
      <c r="I32" s="294"/>
      <c r="J32" s="294"/>
      <c r="K32" s="294"/>
      <c r="L32" s="123">
        <f>L$15+IF(AND(OR('[1]Company Information'!$C$12="District of Columbia",'[1]Company Information'!$C$12="Massachusetts",'[1]Company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1.3155087062468238</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3">
        <v>14268141.092184886</v>
      </c>
      <c r="H34" s="298"/>
      <c r="I34" s="294"/>
      <c r="J34" s="294"/>
      <c r="K34" s="294"/>
      <c r="L34" s="123">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3">
        <v>12515152.85204383</v>
      </c>
      <c r="H35" s="298"/>
      <c r="I35" s="294"/>
      <c r="J35" s="294"/>
      <c r="K35" s="294"/>
      <c r="L35" s="123">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8"/>
    </row>
    <row r="37" spans="1:40" x14ac:dyDescent="0.2">
      <c r="B37" s="199" t="s">
        <v>455</v>
      </c>
      <c r="C37" s="128">
        <v>18184</v>
      </c>
      <c r="D37" s="129">
        <v>2188</v>
      </c>
      <c r="E37" s="262">
        <f>('[1]Pt 1 Summary of Data'!E$59+'[1]Pt 1 Summary of Data'!G$59-'[1]Pt 1 Summary of Data'!H$59)/12+IF(AND(OR('[1]Company Information'!$C$12="District of Columbia",'[1]Company Information'!$C$12="Massachusetts",'[1]Company Information'!$C$12="Vermont"),SUM($C$6:$F$11,$C$15:$F$16,$C$37:$D$37)&lt;&gt;0),'[1]Pt 1 Summary of Data'!K$59+'[1]Pt 1 Summary of Data'!M$59-'[1]Pt 1 Summary of Data'!N$59,0)/12</f>
        <v>38691.916666666664</v>
      </c>
      <c r="F37" s="262">
        <f>SUM(C$37:E$37)+IF(AND(OR('[1]Company Information'!$C$12="District of Columbia",'[1]Company Information'!$C$12="Massachusetts",'[1]Company Information'!$C$12="Vermont"),SUM($C$6:$F$11,$C$15:$F$16,$C$37:$D$37)&lt;&gt;0,SUM(C$37:D$37)&lt;&gt;SUM(H$37:I$37)),SUM(H$37:I$37),0)</f>
        <v>59063.916666666664</v>
      </c>
      <c r="G37" s="318"/>
      <c r="H37" s="128">
        <v>24017</v>
      </c>
      <c r="I37" s="129">
        <v>23405</v>
      </c>
      <c r="J37" s="262">
        <f>('[1]Pt 1 Summary of Data'!K$59+'[1]Pt 1 Summary of Data'!M$59-'[1]Pt 1 Summary of Data'!N$59)/12+IF(AND(OR('[1]Company Information'!$C$12="District of Columbia",'[1]Company Information'!$C$12="Massachusetts",'[1]Company Information'!$C$12="Vermont"),SUM($H$6:$K$11,$H$15:$K$16,$H$37:$I$37)&lt;&gt;0),'[1]Pt 1 Summary of Data'!E$59+'[1]Pt 1 Summary of Data'!G$59-'[1]Pt 1 Summary of Data'!H$59,0)/12</f>
        <v>18857.416666666668</v>
      </c>
      <c r="K37" s="262">
        <f>SUM(H$37:J$37)+IF(AND(OR('[1]Company Information'!$C$12="District of Columbia",'[1]Company Information'!$C$12="Massachusetts",'[1]Company Information'!$C$12="Vermont"),SUM($H$6:$K$11,$H$15:$K$16,$H$37:$I$37)&lt;&gt;0,SUM(H$37:I$37)&lt;&gt;SUM(C$37:D$37)),SUM(C$37:D$37),0)</f>
        <v>66279.416666666672</v>
      </c>
      <c r="L37" s="318"/>
      <c r="M37" s="128">
        <v>150855</v>
      </c>
      <c r="N37" s="129">
        <v>144272</v>
      </c>
      <c r="O37" s="262">
        <f>('[1]Pt 1 Summary of Data'!Q$59+'[1]Pt 1 Summary of Data'!S$59-'[1]Pt 1 Summary of Data'!T$59)/12</f>
        <v>138242.25</v>
      </c>
      <c r="P37" s="262">
        <f>SUM(M$37:O$37)</f>
        <v>433369.25</v>
      </c>
      <c r="Q37" s="128"/>
      <c r="R37" s="129"/>
      <c r="S37" s="262"/>
      <c r="T37" s="262"/>
      <c r="U37" s="128"/>
      <c r="V37" s="129"/>
      <c r="W37" s="262">
        <f>'[1]Pt 1 Summary of Data'!Y$59/12+IF(AND(OR('[1]Company Information'!$C$12="District of Columbia",'[1]Company Information'!$C$12="Massachusetts",'[1]Company Information'!$C$12="Vermont"),SUM($U$6:$X$7,$U$15:$X$16,$U$37:$V$37)&lt;&gt;0),'[1]Pt 1 Summary of Data'!V$59,0)/12</f>
        <v>0</v>
      </c>
      <c r="X37" s="262">
        <f>SUM(U$37:W$37)+IF(AND(OR('[1]Company Information'!$C$12="District of Columbia",'[1]Company Information'!$C$12="Massachusetts",'[1]Company Information'!$C$12="Vermont"),SUM($U$6:$X$7,$U$15:$X$16,$U$37:$V$37)&lt;&gt;0,SUM(U$37:V$37)&lt;&gt;SUM(Q$37:R$37)),SUM(Q$37:R$37),0)</f>
        <v>0</v>
      </c>
      <c r="Y37" s="128"/>
      <c r="Z37" s="129"/>
      <c r="AA37" s="262">
        <f>'[1]Pt 1 Summary of Data'!AB$59/12</f>
        <v>0</v>
      </c>
      <c r="AB37" s="262">
        <f>SUM(Y$37:AA$37)</f>
        <v>0</v>
      </c>
      <c r="AC37" s="353"/>
      <c r="AD37" s="352"/>
      <c r="AE37" s="352"/>
      <c r="AF37" s="352"/>
      <c r="AG37" s="353"/>
      <c r="AH37" s="352"/>
      <c r="AI37" s="352"/>
      <c r="AJ37" s="352"/>
      <c r="AK37" s="353"/>
      <c r="AL37" s="129"/>
      <c r="AM37" s="262">
        <f>('[1]Pt 1 Summary of Data'!AO$59+'[1]Pt 1 Summary of Data'!AQ$59-'[1]Pt 1 Summary of Data'!AR$59)/12</f>
        <v>0</v>
      </c>
      <c r="AN37" s="263">
        <f>IF(AM$37&lt;75000,AL37+AM37,AM37)</f>
        <v>0</v>
      </c>
    </row>
    <row r="38" spans="1:40" x14ac:dyDescent="0.2">
      <c r="B38" s="197" t="s">
        <v>322</v>
      </c>
      <c r="C38" s="357"/>
      <c r="D38" s="358"/>
      <c r="E38" s="358"/>
      <c r="F38" s="273">
        <v>8.0000000000000002E-3</v>
      </c>
      <c r="G38" s="359"/>
      <c r="H38" s="357"/>
      <c r="I38" s="358"/>
      <c r="J38" s="358"/>
      <c r="K38" s="273">
        <v>4.0000000000000001E-3</v>
      </c>
      <c r="L38" s="359"/>
      <c r="M38" s="357"/>
      <c r="N38" s="358"/>
      <c r="O38" s="358"/>
      <c r="P38" s="273">
        <f ca="1">IF(OR(P$37&lt;1000,P$37&gt;=75000,AND(M$37&gt;=1000,N$37&gt;=1000,O$37&gt;=1000,M$44&lt;M$49,N$44&lt;N$49,O$44&lt;O$49)),0,VLOOKUP(P$37,'[1]Reference Tables'!$A$4:$B$11,2)+((P$37-VLOOKUP(P$37,'[1]Reference Tables'!$A$4:$B$11,1))*(OFFSET(INDEX('[1]Reference Tables'!$A$4:$A$11,MATCH(P$37,'[1]Reference Tables'!$A$4:$A$11)),1,1)-VLOOKUP(P$37,'[1]Reference Tables'!$A$4:$B$11,2))/(OFFSET(INDEX('[1]Reference Tables'!$A$4:$A$11,MATCH(P$37,'[1]Reference Tables'!$A$4:$A$11)),1,0)-VLOOKUP(P$37,'[1]Reference Tables'!$A$4:$B$11,1))))</f>
        <v>0</v>
      </c>
      <c r="Q38" s="357"/>
      <c r="R38" s="358"/>
      <c r="S38" s="358"/>
      <c r="T38" s="273"/>
      <c r="U38" s="357"/>
      <c r="V38" s="358"/>
      <c r="W38" s="358"/>
      <c r="X38" s="273">
        <f ca="1">IF(OR(X$37&lt;1000,X$37&gt;=75000,AND(U$37&gt;=1000,V$37&gt;=1000,W$37&gt;=1000,U$45&lt;U$49,V$45&lt;V$49,W$45&lt;W$49)),0,VLOOKUP(X$37,'[1]Reference Tables'!$A$4:$B$11,2)+((X$37-VLOOKUP(X$37,'[1]Reference Tables'!$A$4:$B$11,1))*(OFFSET(INDEX('[1]Reference Tables'!$A$4:$A$11,MATCH(X$37,'[1]Reference Tables'!$A$4:$A$11)),1,1)-VLOOKUP(X$37,'[1]Reference Tables'!$A$4:$B$11,2))/(OFFSET(INDEX('[1]Reference Tables'!$A$4:$A$11,MATCH(X$37,'[1]Reference Tables'!$A$4:$A$11)),1,0)-VLOOKUP(X$37,'[1]Reference Tables'!$A$4:$B$11,1))))</f>
        <v>0</v>
      </c>
      <c r="Y38" s="357"/>
      <c r="Z38" s="358"/>
      <c r="AA38" s="358"/>
      <c r="AB38" s="273">
        <f ca="1">IF(OR(AB$37&lt;1000,AB$37&gt;=75000,AND(Y$37&gt;=1000,Z$37&gt;=1000,AA$37&gt;=1000,Y$45&lt;Y$49,Z$45&lt;Z$49,AA$45&lt;AA$49)),0,VLOOKUP(AB$37,'[1]Reference Tables'!$A$4:$B$11,2)+((AB$37-VLOOKUP(AB$37,'[1]Reference Tables'!$A$4:$B$11,1))*(OFFSET(INDEX('[1]Reference Tables'!$A$4:$A$11,MATCH(AB$37,'[1]Reference Tables'!$A$4:$A$11)),1,1)-VLOOKUP(AB$37,'[1]Reference Tables'!$A$4:$B$11,2))/(OFFSET(INDEX('[1]Reference Tables'!$A$4:$A$11,MATCH(AB$37,'[1]Reference Tables'!$A$4:$A$11)),1,0)-VLOOKUP(AB$37,'[1]Reference Tables'!$A$4:$B$11,1))))</f>
        <v>0</v>
      </c>
      <c r="AC38" s="360"/>
      <c r="AD38" s="361"/>
      <c r="AE38" s="361"/>
      <c r="AF38" s="361"/>
      <c r="AG38" s="360"/>
      <c r="AH38" s="361"/>
      <c r="AI38" s="361"/>
      <c r="AJ38" s="361"/>
      <c r="AK38" s="360"/>
      <c r="AL38" s="358"/>
      <c r="AM38" s="358"/>
      <c r="AN38" s="274">
        <f ca="1">IF(OR(AN$37&lt;1000,AN$37&gt;=75000),0,VLOOKUP(AN$37,'[1]Reference Tables'!$A$4:$B$11,2)+((AN$37-VLOOKUP(AN$37,'[1]Reference Tables'!$A$4:$B$11,1))*(OFFSET(INDEX('[1]Reference Tables'!$A$4:$A$11,MATCH(AN$37,'[1]Reference Tables'!$A$4:$A$11)),1,1)-VLOOKUP(AN$37,'[1]Reference Tables'!$A$4:$B$11,2))/(OFFSET(INDEX('[1]Reference Tables'!$A$4:$A$11,MATCH(AN$37,'[1]Reference Tables'!$A$4:$A$11)),1,0)-VLOOKUP(AN$37,'[1]Reference Tables'!$A$4:$B$11,1))))</f>
        <v>0</v>
      </c>
    </row>
    <row r="39" spans="1:40" x14ac:dyDescent="0.2">
      <c r="B39" s="203" t="s">
        <v>323</v>
      </c>
      <c r="C39" s="298"/>
      <c r="D39" s="294"/>
      <c r="E39" s="294"/>
      <c r="F39" s="117"/>
      <c r="G39" s="317"/>
      <c r="H39" s="298"/>
      <c r="I39" s="294"/>
      <c r="J39" s="294"/>
      <c r="K39" s="117"/>
      <c r="L39" s="317"/>
      <c r="M39" s="298"/>
      <c r="N39" s="294"/>
      <c r="O39" s="294"/>
      <c r="P39" s="117"/>
      <c r="Q39" s="298"/>
      <c r="R39" s="294"/>
      <c r="S39" s="294"/>
      <c r="T39" s="117"/>
      <c r="U39" s="298"/>
      <c r="V39" s="294"/>
      <c r="W39" s="294"/>
      <c r="X39" s="117"/>
      <c r="Y39" s="298"/>
      <c r="Z39" s="294"/>
      <c r="AA39" s="294"/>
      <c r="AB39" s="117"/>
      <c r="AC39" s="298"/>
      <c r="AD39" s="294"/>
      <c r="AE39" s="294"/>
      <c r="AF39" s="294"/>
      <c r="AG39" s="298"/>
      <c r="AH39" s="294"/>
      <c r="AI39" s="294"/>
      <c r="AJ39" s="294"/>
      <c r="AK39" s="298"/>
      <c r="AL39" s="294"/>
      <c r="AM39" s="294"/>
      <c r="AN39" s="207"/>
    </row>
    <row r="40" spans="1:40" s="17" customFormat="1" x14ac:dyDescent="0.2">
      <c r="A40" s="150"/>
      <c r="B40" s="197" t="s">
        <v>324</v>
      </c>
      <c r="C40" s="298"/>
      <c r="D40" s="294"/>
      <c r="E40" s="294"/>
      <c r="F40" s="264">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7"/>
      <c r="H40" s="298"/>
      <c r="I40" s="294"/>
      <c r="J40" s="294"/>
      <c r="K40" s="264">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7"/>
      <c r="M40" s="298"/>
      <c r="N40" s="294"/>
      <c r="O40" s="294"/>
      <c r="P40" s="264">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8"/>
      <c r="R40" s="294"/>
      <c r="S40" s="294"/>
      <c r="T40" s="264"/>
      <c r="U40" s="298"/>
      <c r="V40" s="294"/>
      <c r="W40" s="294"/>
      <c r="X40" s="264">
        <f ca="1">IF(X$39&lt;2500,1,(MIN(VLOOKUP(X$39,'[1]Reference Tables'!$A$17:$B$20,2)+((X$39-VLOOKUP(X$39,'[1]Reference Tables'!$A$17:$B$20,1))*(OFFSET(INDEX('[1]Reference Tables'!$A$17:$A$20,MATCH(X$39,'[1]Reference Tables'!$A$17:$A$20)),1,1)-VLOOKUP(X$39,'[1]Reference Tables'!$A$17:$B$20,2))/(OFFSET(INDEX('[1]Reference Tables'!$A$17:$A$20,MATCH(X$39,'[1]Reference Tables'!$A$17:$A$20)),1,0)-VLOOKUP(X$39,'[1]Reference Tables'!$A$17:$B$20,1))),1.736)))</f>
        <v>1</v>
      </c>
      <c r="Y40" s="298"/>
      <c r="Z40" s="294"/>
      <c r="AA40" s="294"/>
      <c r="AB40" s="264">
        <f ca="1">IF(AB$39&lt;2500,1,(MIN(VLOOKUP(AB$39,'[1]Reference Tables'!$A$17:$B$20,2)+((AB$39-VLOOKUP(AB$39,'[1]Reference Tables'!$A$17:$B$20,1))*(OFFSET(INDEX('[1]Reference Tables'!$A$17:$A$20,MATCH(AB$39,'[1]Reference Tables'!$A$17:$A$20)),1,1)-VLOOKUP(AB$39,'[1]Reference Tables'!$A$17:$B$20,2))/(OFFSET(INDEX('[1]Reference Tables'!$A$17:$A$20,MATCH(AB$39,'[1]Reference Tables'!$A$17:$A$20)),1,0)-VLOOKUP(AB$39,'[1]Reference Tables'!$A$17:$B$20,1))),1.736)))</f>
        <v>1</v>
      </c>
      <c r="AC40" s="298"/>
      <c r="AD40" s="294"/>
      <c r="AE40" s="294"/>
      <c r="AF40" s="294"/>
      <c r="AG40" s="298"/>
      <c r="AH40" s="294"/>
      <c r="AI40" s="294"/>
      <c r="AJ40" s="294"/>
      <c r="AK40" s="298"/>
      <c r="AL40" s="294"/>
      <c r="AM40" s="294"/>
      <c r="AN40" s="265">
        <f ca="1">IF(AN$39&lt;2500,1,(MIN(VLOOKUP(AN$39,'[1]Reference Tables'!$A$17:$B$20,2)+((AN$39-VLOOKUP(AN$39,'[1]Reference Tables'!$A$17:$B$20,1))*(OFFSET(INDEX('[1]Reference Tables'!$A$17:$A$20,MATCH(AN$39,'[1]Reference Tables'!$A$17:$A$20)),1,1)-VLOOKUP(AN$39,'[1]Reference Tables'!$A$17:$B$20,2))/(OFFSET(INDEX('[1]Reference Tables'!$A$17:$A$20,MATCH(AN$39,'[1]Reference Tables'!$A$17:$A$20)),1,0)-VLOOKUP(AN$39,'[1]Reference Tables'!$A$17:$B$20,1))),1.736)))</f>
        <v>1</v>
      </c>
    </row>
    <row r="41" spans="1:40" x14ac:dyDescent="0.2">
      <c r="B41" s="197" t="s">
        <v>325</v>
      </c>
      <c r="C41" s="298"/>
      <c r="D41" s="294"/>
      <c r="E41" s="294"/>
      <c r="F41" s="266">
        <f ca="1">IF(OR(F$37&lt;1000,F$37&gt;=75000),0,F$38*F$40)</f>
        <v>8.0000000000000002E-3</v>
      </c>
      <c r="G41" s="317"/>
      <c r="H41" s="298"/>
      <c r="I41" s="294"/>
      <c r="J41" s="294"/>
      <c r="K41" s="266">
        <f ca="1">IF(OR(K$37&lt;1000,K$37&gt;=75000),0,K$38*K$40)</f>
        <v>4.0000000000000001E-3</v>
      </c>
      <c r="L41" s="317"/>
      <c r="M41" s="298"/>
      <c r="N41" s="294"/>
      <c r="O41" s="294"/>
      <c r="P41" s="266">
        <f>IF(OR(P$37&lt;1000,P$37&gt;=75000),0,P$38*P$40)</f>
        <v>0</v>
      </c>
      <c r="Q41" s="298"/>
      <c r="R41" s="294"/>
      <c r="S41" s="294"/>
      <c r="T41" s="266"/>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0.90362555945237166</v>
      </c>
      <c r="D44" s="266">
        <f t="shared" ref="D44:F44" si="16">IF(OR(D$37&lt;1000,D$17&lt;=0),"",D$12/D$17)</f>
        <v>0.95424281185899118</v>
      </c>
      <c r="E44" s="266">
        <f t="shared" si="16"/>
        <v>0.93908766208240479</v>
      </c>
      <c r="F44" s="266">
        <f t="shared" si="16"/>
        <v>0.93583953522954422</v>
      </c>
      <c r="G44" s="317"/>
      <c r="H44" s="268">
        <f>IF(OR(H$37&lt;1000,H$17&lt;=0),"",H$12/H$17)</f>
        <v>0.91012791927636483</v>
      </c>
      <c r="I44" s="266">
        <f t="shared" ref="I44:K44" si="17">IF(OR(I$37&lt;1000,I$17&lt;=0),"",I$12/I$17)</f>
        <v>0.99600621453073379</v>
      </c>
      <c r="J44" s="266">
        <f t="shared" si="17"/>
        <v>0.86740549480540263</v>
      </c>
      <c r="K44" s="266">
        <f t="shared" si="17"/>
        <v>0.92514022078951053</v>
      </c>
      <c r="L44" s="317"/>
      <c r="M44" s="268">
        <f>IF(OR(M$37&lt;1000,M$17&lt;=0),"",M$12/M$17)</f>
        <v>0.93348379155085992</v>
      </c>
      <c r="N44" s="266">
        <f t="shared" ref="N44:P44" si="18">IF(OR(N$37&lt;1000,N$17&lt;=0),"",N$12/N$17)</f>
        <v>0.91310547283188426</v>
      </c>
      <c r="O44" s="266">
        <f t="shared" si="18"/>
        <v>0.90017405371809933</v>
      </c>
      <c r="P44" s="266">
        <f t="shared" si="18"/>
        <v>0.91565485963484139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8.0000000000000002E-3</v>
      </c>
      <c r="G46" s="317"/>
      <c r="H46" s="298"/>
      <c r="I46" s="294"/>
      <c r="J46" s="294"/>
      <c r="K46" s="266">
        <f ca="1">IF(K$44="","",K$41)</f>
        <v>4.0000000000000001E-3</v>
      </c>
      <c r="L46" s="317"/>
      <c r="M46" s="298"/>
      <c r="N46" s="294"/>
      <c r="O46" s="294"/>
      <c r="P46" s="266">
        <f>IF(P$44="","",P$41)</f>
        <v>0</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3" customFormat="1" x14ac:dyDescent="0.2">
      <c r="A47" s="149"/>
      <c r="B47" s="205" t="s">
        <v>329</v>
      </c>
      <c r="C47" s="298"/>
      <c r="D47" s="294"/>
      <c r="E47" s="294"/>
      <c r="F47" s="266">
        <f ca="1">IF(F$44="","",ROUND(F$44+MAX(0,F$46),3))</f>
        <v>0.94399999999999995</v>
      </c>
      <c r="G47" s="317"/>
      <c r="H47" s="298"/>
      <c r="I47" s="294"/>
      <c r="J47" s="294"/>
      <c r="K47" s="266">
        <f ca="1">IF(K$44="","",ROUND(K$44+MAX(0,K$46),3))</f>
        <v>0.92900000000000005</v>
      </c>
      <c r="L47" s="317"/>
      <c r="M47" s="298"/>
      <c r="N47" s="294"/>
      <c r="O47" s="294"/>
      <c r="P47" s="266">
        <f>IF(P$44="","",ROUND(P$44+MAX(0,P$46),3))</f>
        <v>0.91600000000000004</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6" customFormat="1" ht="16.5" x14ac:dyDescent="0.25">
      <c r="A48" s="148"/>
      <c r="B48" s="185"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8"/>
    </row>
    <row r="49" spans="1:40" x14ac:dyDescent="0.2">
      <c r="B49" s="196" t="s">
        <v>332</v>
      </c>
      <c r="C49" s="146">
        <v>0.8</v>
      </c>
      <c r="D49" s="147">
        <v>0.8</v>
      </c>
      <c r="E49" s="147">
        <v>0.8</v>
      </c>
      <c r="F49" s="147">
        <v>0.8</v>
      </c>
      <c r="G49" s="318"/>
      <c r="H49" s="394">
        <v>0.8</v>
      </c>
      <c r="I49" s="395">
        <v>0.8</v>
      </c>
      <c r="J49" s="395">
        <v>0.8</v>
      </c>
      <c r="K49" s="395">
        <v>0.8</v>
      </c>
      <c r="L49" s="318"/>
      <c r="M49" s="146">
        <v>0.85</v>
      </c>
      <c r="N49" s="147">
        <v>0.85</v>
      </c>
      <c r="O49" s="147">
        <v>0.85</v>
      </c>
      <c r="P49" s="147">
        <v>0.85</v>
      </c>
      <c r="Q49" s="146">
        <v>0.8</v>
      </c>
      <c r="R49" s="147">
        <v>0.8</v>
      </c>
      <c r="S49" s="147">
        <v>0.8</v>
      </c>
      <c r="T49" s="147">
        <v>0.8</v>
      </c>
      <c r="U49" s="146"/>
      <c r="V49" s="147"/>
      <c r="W49" s="147"/>
      <c r="X49" s="147"/>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6" customFormat="1" x14ac:dyDescent="0.2">
      <c r="A50" s="148"/>
      <c r="B50" s="203" t="s">
        <v>333</v>
      </c>
      <c r="C50" s="299"/>
      <c r="D50" s="295"/>
      <c r="E50" s="295"/>
      <c r="F50" s="266">
        <f ca="1">F$47</f>
        <v>0.94399999999999995</v>
      </c>
      <c r="G50" s="317"/>
      <c r="H50" s="299"/>
      <c r="I50" s="295"/>
      <c r="J50" s="295"/>
      <c r="K50" s="266">
        <f ca="1">K$47</f>
        <v>0.92900000000000005</v>
      </c>
      <c r="L50" s="317"/>
      <c r="M50" s="299"/>
      <c r="N50" s="295"/>
      <c r="O50" s="295"/>
      <c r="P50" s="266">
        <f>P$47</f>
        <v>0.91600000000000004</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2">
        <f>IF(F$37&lt;1000,"",MAX(0,E$15-E$16))</f>
        <v>112460457.54000001</v>
      </c>
      <c r="G51" s="317"/>
      <c r="H51" s="298"/>
      <c r="I51" s="294"/>
      <c r="J51" s="294"/>
      <c r="K51" s="122">
        <f>IF(K$37&lt;1000,"",MAX(0,J$15-J$16))</f>
        <v>103076862.59245855</v>
      </c>
      <c r="L51" s="317"/>
      <c r="M51" s="298"/>
      <c r="N51" s="294"/>
      <c r="O51" s="294"/>
      <c r="P51" s="122">
        <f>IF(P$37&lt;1000,"",MAX(0,O$15-O$16))</f>
        <v>707514906</v>
      </c>
      <c r="Q51" s="298"/>
      <c r="R51" s="294"/>
      <c r="S51" s="294"/>
      <c r="T51" s="122"/>
      <c r="U51" s="298"/>
      <c r="V51" s="294"/>
      <c r="W51" s="294"/>
      <c r="X51" s="122"/>
      <c r="Y51" s="298"/>
      <c r="Z51" s="294"/>
      <c r="AA51" s="294"/>
      <c r="AB51" s="122"/>
      <c r="AC51" s="298"/>
      <c r="AD51" s="294"/>
      <c r="AE51" s="294"/>
      <c r="AF51" s="294"/>
      <c r="AG51" s="298"/>
      <c r="AH51" s="294"/>
      <c r="AI51" s="294"/>
      <c r="AJ51" s="294"/>
      <c r="AK51" s="298"/>
      <c r="AL51" s="294"/>
      <c r="AM51" s="294"/>
      <c r="AN51" s="259"/>
    </row>
    <row r="52" spans="1:40" s="83" customFormat="1" ht="26.25" customHeight="1" x14ac:dyDescent="0.2">
      <c r="A52" s="149"/>
      <c r="B52" s="198" t="s">
        <v>335</v>
      </c>
      <c r="C52" s="298"/>
      <c r="D52" s="294"/>
      <c r="E52" s="294"/>
      <c r="F52" s="122">
        <f ca="1">IF(OR(F$37&lt;1000,F$17&lt;=0),0,MAX(0,F$49-F$50)*F$51)</f>
        <v>0</v>
      </c>
      <c r="G52" s="317"/>
      <c r="H52" s="298"/>
      <c r="I52" s="294"/>
      <c r="J52" s="294"/>
      <c r="K52" s="122">
        <f ca="1">IF(OR(K$37&lt;1000,K$17&lt;=0),0,MAX(0,K$49-K$50)*K$51)</f>
        <v>0</v>
      </c>
      <c r="L52" s="317"/>
      <c r="M52" s="298"/>
      <c r="N52" s="294"/>
      <c r="O52" s="294"/>
      <c r="P52" s="122">
        <f>IF(OR(P$37&lt;1000,P$17&lt;=0),0,MAX(0,P$49-P$50)*P$51)</f>
        <v>0</v>
      </c>
      <c r="Q52" s="298"/>
      <c r="R52" s="294"/>
      <c r="S52" s="294"/>
      <c r="T52" s="122">
        <f>IF(OR(T$37&lt;1000,T$17&lt;=0),0,MAX(0,T$49-T$50)*T$51)</f>
        <v>0</v>
      </c>
      <c r="U52" s="298"/>
      <c r="V52" s="294"/>
      <c r="W52" s="294"/>
      <c r="X52" s="122">
        <f>IF(OR(X$37&lt;1000,X$17&lt;=0),0,MAX(0,X$49-X$50)*X$51)</f>
        <v>0</v>
      </c>
      <c r="Y52" s="298"/>
      <c r="Z52" s="294"/>
      <c r="AA52" s="294"/>
      <c r="AB52" s="122">
        <f>IF(OR(AB$37&lt;1000,AB$17&lt;=0),0,MAX(0,AB$49-AB$50)*AB$51)</f>
        <v>0</v>
      </c>
      <c r="AC52" s="298"/>
      <c r="AD52" s="294"/>
      <c r="AE52" s="294"/>
      <c r="AF52" s="294"/>
      <c r="AG52" s="298"/>
      <c r="AH52" s="294"/>
      <c r="AI52" s="294"/>
      <c r="AJ52" s="294"/>
      <c r="AK52" s="298"/>
      <c r="AL52" s="294"/>
      <c r="AM52" s="294"/>
      <c r="AN52" s="259">
        <f>IF(OR(AN$37&lt;1000,AN$17&lt;=0),0,MAX(0,AN$49-AN$50)*AN$51)</f>
        <v>0</v>
      </c>
    </row>
    <row r="53" spans="1:40" s="26" customFormat="1" ht="16.5" x14ac:dyDescent="0.25">
      <c r="A53" s="102"/>
      <c r="B53" s="185"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8"/>
    </row>
    <row r="54" spans="1:40" s="26" customFormat="1" ht="13.15" customHeight="1" x14ac:dyDescent="0.2">
      <c r="A54" s="102"/>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6" customFormat="1" ht="27" customHeight="1" x14ac:dyDescent="0.2">
      <c r="A55" s="102"/>
      <c r="B55" s="201" t="s">
        <v>338</v>
      </c>
      <c r="C55" s="298"/>
      <c r="D55" s="117"/>
      <c r="E55" s="294"/>
      <c r="F55" s="294"/>
      <c r="G55" s="317"/>
      <c r="H55" s="298"/>
      <c r="I55" s="117"/>
      <c r="J55" s="294"/>
      <c r="K55" s="294"/>
      <c r="L55" s="317"/>
      <c r="M55" s="298"/>
      <c r="N55" s="117"/>
      <c r="O55" s="294"/>
      <c r="P55" s="294"/>
      <c r="Q55" s="298"/>
      <c r="R55" s="117"/>
      <c r="S55" s="294"/>
      <c r="T55" s="294"/>
      <c r="U55" s="298"/>
      <c r="V55" s="117"/>
      <c r="W55" s="294"/>
      <c r="X55" s="294"/>
      <c r="Y55" s="298"/>
      <c r="Z55" s="117"/>
      <c r="AA55" s="294"/>
      <c r="AB55" s="294"/>
      <c r="AC55" s="298"/>
      <c r="AD55" s="294"/>
      <c r="AE55" s="294"/>
      <c r="AF55" s="294"/>
      <c r="AG55" s="298"/>
      <c r="AH55" s="294"/>
      <c r="AI55" s="294"/>
      <c r="AJ55" s="294"/>
      <c r="AK55" s="298"/>
      <c r="AL55" s="117"/>
      <c r="AM55" s="294"/>
      <c r="AN55" s="356"/>
    </row>
    <row r="56" spans="1:40" s="26" customFormat="1" ht="26.25" customHeight="1" x14ac:dyDescent="0.2">
      <c r="A56" s="102"/>
      <c r="B56" s="201" t="s">
        <v>339</v>
      </c>
      <c r="C56" s="298"/>
      <c r="D56" s="117"/>
      <c r="E56" s="294"/>
      <c r="F56" s="294"/>
      <c r="G56" s="317"/>
      <c r="H56" s="298"/>
      <c r="I56" s="117"/>
      <c r="J56" s="294"/>
      <c r="K56" s="294"/>
      <c r="L56" s="317"/>
      <c r="M56" s="298"/>
      <c r="N56" s="117"/>
      <c r="O56" s="294"/>
      <c r="P56" s="294"/>
      <c r="Q56" s="298"/>
      <c r="R56" s="117"/>
      <c r="S56" s="294"/>
      <c r="T56" s="294"/>
      <c r="U56" s="298"/>
      <c r="V56" s="117"/>
      <c r="W56" s="294"/>
      <c r="X56" s="294"/>
      <c r="Y56" s="298"/>
      <c r="Z56" s="117"/>
      <c r="AA56" s="294"/>
      <c r="AB56" s="294"/>
      <c r="AC56" s="298"/>
      <c r="AD56" s="294"/>
      <c r="AE56" s="294"/>
      <c r="AF56" s="294"/>
      <c r="AG56" s="298"/>
      <c r="AH56" s="294"/>
      <c r="AI56" s="294"/>
      <c r="AJ56" s="294"/>
      <c r="AK56" s="298"/>
      <c r="AL56" s="117"/>
      <c r="AM56" s="294"/>
      <c r="AN56" s="356"/>
    </row>
    <row r="57" spans="1:40" s="26" customFormat="1" x14ac:dyDescent="0.2">
      <c r="A57" s="102"/>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6" customFormat="1" x14ac:dyDescent="0.2">
      <c r="A58" s="102"/>
      <c r="B58" s="201" t="s">
        <v>341</v>
      </c>
      <c r="C58" s="298"/>
      <c r="D58" s="294"/>
      <c r="E58" s="117"/>
      <c r="F58" s="294"/>
      <c r="G58" s="317"/>
      <c r="H58" s="298"/>
      <c r="I58" s="294"/>
      <c r="J58" s="117"/>
      <c r="K58" s="294"/>
      <c r="L58" s="317"/>
      <c r="M58" s="298"/>
      <c r="N58" s="294"/>
      <c r="O58" s="294"/>
      <c r="P58" s="294"/>
      <c r="Q58" s="298"/>
      <c r="R58" s="294"/>
      <c r="S58" s="117"/>
      <c r="T58" s="294"/>
      <c r="U58" s="298"/>
      <c r="V58" s="294"/>
      <c r="W58" s="117"/>
      <c r="X58" s="294"/>
      <c r="Y58" s="298"/>
      <c r="Z58" s="294"/>
      <c r="AA58" s="294"/>
      <c r="AB58" s="294"/>
      <c r="AC58" s="298"/>
      <c r="AD58" s="294"/>
      <c r="AE58" s="294"/>
      <c r="AF58" s="294"/>
      <c r="AG58" s="298"/>
      <c r="AH58" s="294"/>
      <c r="AI58" s="294"/>
      <c r="AJ58" s="294"/>
      <c r="AK58" s="298"/>
      <c r="AL58" s="294"/>
      <c r="AM58" s="117"/>
      <c r="AN58" s="356"/>
    </row>
    <row r="59" spans="1:40" s="26" customFormat="1" x14ac:dyDescent="0.2">
      <c r="A59" s="102"/>
      <c r="B59" s="201" t="s">
        <v>342</v>
      </c>
      <c r="C59" s="298"/>
      <c r="D59" s="294"/>
      <c r="E59" s="117"/>
      <c r="F59" s="294"/>
      <c r="G59" s="317"/>
      <c r="H59" s="298"/>
      <c r="I59" s="294"/>
      <c r="J59" s="117"/>
      <c r="K59" s="294"/>
      <c r="L59" s="317"/>
      <c r="M59" s="298"/>
      <c r="N59" s="294"/>
      <c r="O59" s="294"/>
      <c r="P59" s="294"/>
      <c r="Q59" s="298"/>
      <c r="R59" s="294"/>
      <c r="S59" s="117"/>
      <c r="T59" s="294"/>
      <c r="U59" s="298"/>
      <c r="V59" s="294"/>
      <c r="W59" s="117"/>
      <c r="X59" s="294"/>
      <c r="Y59" s="298"/>
      <c r="Z59" s="294"/>
      <c r="AA59" s="294"/>
      <c r="AB59" s="294"/>
      <c r="AC59" s="298"/>
      <c r="AD59" s="294"/>
      <c r="AE59" s="294"/>
      <c r="AF59" s="294"/>
      <c r="AG59" s="298"/>
      <c r="AH59" s="294"/>
      <c r="AI59" s="294"/>
      <c r="AJ59" s="294"/>
      <c r="AK59" s="298"/>
      <c r="AL59" s="294"/>
      <c r="AM59" s="117"/>
      <c r="AN59" s="356"/>
    </row>
    <row r="60" spans="1:40" s="26" customFormat="1" x14ac:dyDescent="0.2">
      <c r="A60" s="102"/>
      <c r="B60" s="201" t="s">
        <v>343</v>
      </c>
      <c r="C60" s="298"/>
      <c r="D60" s="294"/>
      <c r="E60" s="117"/>
      <c r="F60" s="294"/>
      <c r="G60" s="317"/>
      <c r="H60" s="298"/>
      <c r="I60" s="294"/>
      <c r="J60" s="117"/>
      <c r="K60" s="294"/>
      <c r="L60" s="317"/>
      <c r="M60" s="298"/>
      <c r="N60" s="294"/>
      <c r="O60" s="294"/>
      <c r="P60" s="294"/>
      <c r="Q60" s="298"/>
      <c r="R60" s="294"/>
      <c r="S60" s="117"/>
      <c r="T60" s="294"/>
      <c r="U60" s="298"/>
      <c r="V60" s="294"/>
      <c r="W60" s="117"/>
      <c r="X60" s="294"/>
      <c r="Y60" s="298"/>
      <c r="Z60" s="294"/>
      <c r="AA60" s="294"/>
      <c r="AB60" s="294"/>
      <c r="AC60" s="298"/>
      <c r="AD60" s="294"/>
      <c r="AE60" s="294"/>
      <c r="AF60" s="294"/>
      <c r="AG60" s="298"/>
      <c r="AH60" s="294"/>
      <c r="AI60" s="294"/>
      <c r="AJ60" s="294"/>
      <c r="AK60" s="298"/>
      <c r="AL60" s="294"/>
      <c r="AM60" s="117"/>
      <c r="AN60" s="356"/>
    </row>
    <row r="61" spans="1:40" s="26" customFormat="1" x14ac:dyDescent="0.2">
      <c r="A61" s="102"/>
      <c r="B61" s="201" t="s">
        <v>344</v>
      </c>
      <c r="C61" s="298"/>
      <c r="D61" s="294"/>
      <c r="E61" s="117"/>
      <c r="F61" s="294"/>
      <c r="G61" s="317"/>
      <c r="H61" s="298"/>
      <c r="I61" s="294"/>
      <c r="J61" s="117"/>
      <c r="K61" s="294"/>
      <c r="L61" s="317"/>
      <c r="M61" s="298"/>
      <c r="N61" s="294"/>
      <c r="O61" s="294"/>
      <c r="P61" s="294"/>
      <c r="Q61" s="298"/>
      <c r="R61" s="294"/>
      <c r="S61" s="117"/>
      <c r="T61" s="294"/>
      <c r="U61" s="298"/>
      <c r="V61" s="294"/>
      <c r="W61" s="117"/>
      <c r="X61" s="294"/>
      <c r="Y61" s="298"/>
      <c r="Z61" s="294"/>
      <c r="AA61" s="294"/>
      <c r="AB61" s="294"/>
      <c r="AC61" s="298"/>
      <c r="AD61" s="294"/>
      <c r="AE61" s="294"/>
      <c r="AF61" s="294"/>
      <c r="AG61" s="298"/>
      <c r="AH61" s="294"/>
      <c r="AI61" s="294"/>
      <c r="AJ61" s="294"/>
      <c r="AK61" s="298"/>
      <c r="AL61" s="294"/>
      <c r="AM61" s="117"/>
      <c r="AN61" s="356"/>
    </row>
    <row r="62" spans="1:40" s="26" customFormat="1" x14ac:dyDescent="0.2">
      <c r="A62" s="102"/>
      <c r="B62" s="201" t="s">
        <v>345</v>
      </c>
      <c r="C62" s="298"/>
      <c r="D62" s="294"/>
      <c r="E62" s="117"/>
      <c r="F62" s="294"/>
      <c r="G62" s="317"/>
      <c r="H62" s="298"/>
      <c r="I62" s="294"/>
      <c r="J62" s="117"/>
      <c r="K62" s="294"/>
      <c r="L62" s="317"/>
      <c r="M62" s="298"/>
      <c r="N62" s="294"/>
      <c r="O62" s="294"/>
      <c r="P62" s="294"/>
      <c r="Q62" s="298"/>
      <c r="R62" s="294"/>
      <c r="S62" s="117"/>
      <c r="T62" s="294"/>
      <c r="U62" s="298"/>
      <c r="V62" s="294"/>
      <c r="W62" s="117"/>
      <c r="X62" s="294"/>
      <c r="Y62" s="298"/>
      <c r="Z62" s="294"/>
      <c r="AA62" s="294"/>
      <c r="AB62" s="294"/>
      <c r="AC62" s="298"/>
      <c r="AD62" s="294"/>
      <c r="AE62" s="294"/>
      <c r="AF62" s="294"/>
      <c r="AG62" s="298"/>
      <c r="AH62" s="294"/>
      <c r="AI62" s="294"/>
      <c r="AJ62" s="294"/>
      <c r="AK62" s="298"/>
      <c r="AL62" s="294"/>
      <c r="AM62" s="117"/>
      <c r="AN62" s="356"/>
    </row>
    <row r="63" spans="1:40" s="26" customFormat="1" x14ac:dyDescent="0.2">
      <c r="A63" s="102"/>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8" customFormat="1" x14ac:dyDescent="0.2">
      <c r="A64" s="28"/>
      <c r="B64" s="15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1" t="s">
        <v>354</v>
      </c>
      <c r="C3" s="173" t="s">
        <v>396</v>
      </c>
      <c r="D3" s="175" t="s">
        <v>397</v>
      </c>
      <c r="E3" s="175" t="s">
        <v>398</v>
      </c>
      <c r="F3" s="175" t="s">
        <v>399</v>
      </c>
      <c r="G3" s="175" t="s">
        <v>400</v>
      </c>
      <c r="H3" s="175" t="s">
        <v>401</v>
      </c>
      <c r="I3" s="175" t="s">
        <v>402</v>
      </c>
      <c r="J3" s="174" t="s">
        <v>403</v>
      </c>
      <c r="K3" s="216" t="s">
        <v>404</v>
      </c>
    </row>
    <row r="4" spans="2:11" s="12"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30"/>
      <c r="E6" s="130"/>
      <c r="F6" s="369"/>
      <c r="G6" s="130"/>
      <c r="H6" s="130"/>
      <c r="I6" s="369"/>
      <c r="J6" s="369"/>
      <c r="K6" s="378"/>
    </row>
    <row r="7" spans="2:11" x14ac:dyDescent="0.2">
      <c r="B7" s="161" t="s">
        <v>102</v>
      </c>
      <c r="C7" s="131"/>
      <c r="D7" s="133"/>
      <c r="E7" s="133"/>
      <c r="F7" s="133"/>
      <c r="G7" s="133"/>
      <c r="H7" s="133"/>
      <c r="I7" s="380"/>
      <c r="J7" s="380"/>
      <c r="K7" s="215"/>
    </row>
    <row r="8" spans="2:11" x14ac:dyDescent="0.2">
      <c r="B8" s="161" t="s">
        <v>103</v>
      </c>
      <c r="C8" s="367"/>
      <c r="D8" s="133"/>
      <c r="E8" s="133"/>
      <c r="F8" s="370"/>
      <c r="G8" s="133"/>
      <c r="H8" s="133"/>
      <c r="I8" s="380"/>
      <c r="J8" s="380"/>
      <c r="K8" s="379"/>
    </row>
    <row r="9" spans="2:11" ht="13.15" customHeight="1" x14ac:dyDescent="0.2">
      <c r="B9" s="161" t="s">
        <v>104</v>
      </c>
      <c r="C9" s="131"/>
      <c r="D9" s="133"/>
      <c r="E9" s="133"/>
      <c r="F9" s="133"/>
      <c r="G9" s="133"/>
      <c r="H9" s="133"/>
      <c r="I9" s="380"/>
      <c r="J9" s="380"/>
      <c r="K9" s="215"/>
    </row>
    <row r="10" spans="2:11" ht="16.5" x14ac:dyDescent="0.25">
      <c r="B10" s="211" t="s">
        <v>349</v>
      </c>
      <c r="C10" s="77"/>
      <c r="D10" s="81"/>
      <c r="E10" s="81"/>
      <c r="F10" s="81"/>
      <c r="G10" s="81"/>
      <c r="H10" s="81"/>
      <c r="I10" s="81"/>
      <c r="J10" s="81"/>
      <c r="K10" s="272"/>
    </row>
    <row r="11" spans="2:11" s="12" customFormat="1" x14ac:dyDescent="0.2">
      <c r="B11" s="212" t="s">
        <v>457</v>
      </c>
      <c r="C11" s="124"/>
      <c r="D11" s="126"/>
      <c r="E11" s="126"/>
      <c r="F11" s="126"/>
      <c r="G11" s="126"/>
      <c r="H11" s="126"/>
      <c r="I11" s="318"/>
      <c r="J11" s="318"/>
      <c r="K11" s="371"/>
    </row>
    <row r="12" spans="2:11" x14ac:dyDescent="0.2">
      <c r="B12" s="213" t="s">
        <v>93</v>
      </c>
      <c r="C12" s="116"/>
      <c r="D12" s="120"/>
      <c r="E12" s="120"/>
      <c r="F12" s="120"/>
      <c r="G12" s="120"/>
      <c r="H12" s="120"/>
      <c r="I12" s="317"/>
      <c r="J12" s="317"/>
      <c r="K12" s="372"/>
    </row>
    <row r="13" spans="2:11" x14ac:dyDescent="0.2">
      <c r="B13" s="213" t="s">
        <v>94</v>
      </c>
      <c r="C13" s="116"/>
      <c r="D13" s="120"/>
      <c r="E13" s="120"/>
      <c r="F13" s="120"/>
      <c r="G13" s="120"/>
      <c r="H13" s="120"/>
      <c r="I13" s="317"/>
      <c r="J13" s="317"/>
      <c r="K13" s="372"/>
    </row>
    <row r="14" spans="2:11" x14ac:dyDescent="0.2">
      <c r="B14" s="213" t="s">
        <v>95</v>
      </c>
      <c r="C14" s="116"/>
      <c r="D14" s="120"/>
      <c r="E14" s="120"/>
      <c r="F14" s="120"/>
      <c r="G14" s="120"/>
      <c r="H14" s="120"/>
      <c r="I14" s="317"/>
      <c r="J14" s="317"/>
      <c r="K14" s="372"/>
    </row>
    <row r="15" spans="2:11" ht="16.5" x14ac:dyDescent="0.25">
      <c r="B15" s="211" t="s">
        <v>350</v>
      </c>
      <c r="C15" s="77"/>
      <c r="D15" s="81"/>
      <c r="E15" s="81"/>
      <c r="F15" s="81"/>
      <c r="G15" s="81"/>
      <c r="H15" s="81"/>
      <c r="I15" s="81"/>
      <c r="J15" s="81"/>
      <c r="K15" s="272"/>
    </row>
    <row r="16" spans="2:11" s="12" customFormat="1" x14ac:dyDescent="0.2">
      <c r="B16" s="212" t="s">
        <v>206</v>
      </c>
      <c r="C16" s="124"/>
      <c r="D16" s="126"/>
      <c r="E16" s="126"/>
      <c r="F16" s="126"/>
      <c r="G16" s="126"/>
      <c r="H16" s="126"/>
      <c r="I16" s="318"/>
      <c r="J16" s="318"/>
      <c r="K16" s="371"/>
    </row>
    <row r="17" spans="2:12" s="12" customFormat="1" x14ac:dyDescent="0.2">
      <c r="B17" s="213" t="s">
        <v>203</v>
      </c>
      <c r="C17" s="116"/>
      <c r="D17" s="120"/>
      <c r="E17" s="120"/>
      <c r="F17" s="120"/>
      <c r="G17" s="120"/>
      <c r="H17" s="120"/>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2" customFormat="1" x14ac:dyDescent="0.2">
      <c r="B22" s="217" t="s">
        <v>211</v>
      </c>
      <c r="C22" s="192"/>
      <c r="D22" s="218"/>
      <c r="E22" s="218"/>
      <c r="F22" s="218"/>
      <c r="G22" s="218"/>
      <c r="H22" s="218"/>
      <c r="I22" s="365"/>
      <c r="J22" s="365"/>
      <c r="K22" s="374"/>
    </row>
    <row r="23" spans="2:12" s="12" customFormat="1" ht="100.15" customHeight="1" x14ac:dyDescent="0.2">
      <c r="B23" s="109" t="s">
        <v>212</v>
      </c>
      <c r="C23" s="396"/>
      <c r="D23" s="397"/>
      <c r="E23" s="397"/>
      <c r="F23" s="397"/>
      <c r="G23" s="397"/>
      <c r="H23" s="397"/>
      <c r="I23" s="397"/>
      <c r="J23" s="397"/>
      <c r="K23" s="398"/>
    </row>
    <row r="24" spans="2:12" s="12" customFormat="1" ht="100.15" customHeight="1" x14ac:dyDescent="0.2">
      <c r="B24" s="108" t="s">
        <v>213</v>
      </c>
      <c r="C24" s="399"/>
      <c r="D24" s="400"/>
      <c r="E24" s="400"/>
      <c r="F24" s="400"/>
      <c r="G24" s="400"/>
      <c r="H24" s="400"/>
      <c r="I24" s="400"/>
      <c r="J24" s="400"/>
      <c r="K24" s="40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9" t="s">
        <v>97</v>
      </c>
      <c r="C35" s="220" t="s">
        <v>98</v>
      </c>
      <c r="D35" s="48"/>
      <c r="E35" s="48"/>
      <c r="F35" s="48"/>
      <c r="G35" s="48"/>
      <c r="H35" s="48"/>
      <c r="I35" s="48"/>
      <c r="J35" s="48"/>
    </row>
    <row r="36" spans="1:10" s="12" customFormat="1" ht="18" customHeight="1" x14ac:dyDescent="0.2">
      <c r="B36" s="221"/>
      <c r="C36" s="222"/>
      <c r="D36" s="48"/>
      <c r="E36" s="48"/>
      <c r="F36" s="48"/>
      <c r="G36" s="48"/>
      <c r="H36" s="48"/>
      <c r="I36" s="48"/>
    </row>
    <row r="37" spans="1:10" s="12" customFormat="1" ht="18" customHeight="1" x14ac:dyDescent="0.2">
      <c r="B37" s="221"/>
      <c r="C37" s="222"/>
      <c r="D37" s="48"/>
      <c r="E37" s="48"/>
      <c r="F37" s="48"/>
      <c r="G37" s="48"/>
      <c r="H37" s="48"/>
      <c r="I37" s="48"/>
    </row>
    <row r="38" spans="1:10" s="12" customFormat="1" ht="18" customHeight="1" x14ac:dyDescent="0.2">
      <c r="B38" s="221"/>
      <c r="C38" s="222"/>
      <c r="D38" s="48"/>
      <c r="E38" s="48"/>
      <c r="F38" s="48"/>
      <c r="G38" s="48"/>
      <c r="H38" s="48"/>
      <c r="I38" s="48"/>
    </row>
    <row r="39" spans="1:10" s="12" customFormat="1" ht="18" customHeight="1" x14ac:dyDescent="0.2">
      <c r="B39" s="221"/>
      <c r="C39" s="222"/>
      <c r="D39" s="48"/>
      <c r="E39" s="48"/>
      <c r="F39" s="48"/>
      <c r="G39" s="48"/>
      <c r="H39" s="48"/>
      <c r="I39" s="48"/>
    </row>
    <row r="40" spans="1:10" s="12" customFormat="1" ht="18" customHeight="1" x14ac:dyDescent="0.2">
      <c r="B40" s="221"/>
      <c r="C40" s="222"/>
      <c r="D40" s="48"/>
      <c r="E40" s="48"/>
      <c r="F40" s="48"/>
      <c r="G40" s="48"/>
      <c r="H40" s="48"/>
      <c r="I40" s="48"/>
    </row>
    <row r="41" spans="1:10" s="12" customFormat="1" ht="18" customHeight="1" x14ac:dyDescent="0.2">
      <c r="B41" s="221"/>
      <c r="C41" s="222"/>
      <c r="D41" s="48"/>
      <c r="E41" s="48"/>
      <c r="F41" s="48"/>
      <c r="G41" s="48"/>
      <c r="H41" s="48"/>
      <c r="I41" s="48"/>
    </row>
    <row r="42" spans="1:10" s="12" customFormat="1" ht="18" customHeight="1" x14ac:dyDescent="0.2">
      <c r="A42" s="19"/>
      <c r="B42" s="221"/>
      <c r="C42" s="222"/>
      <c r="D42" s="48"/>
      <c r="E42" s="48"/>
      <c r="F42" s="48"/>
      <c r="G42" s="48"/>
      <c r="H42" s="48"/>
      <c r="I42" s="48"/>
    </row>
    <row r="43" spans="1:10" s="12" customFormat="1" ht="18" customHeight="1" x14ac:dyDescent="0.2">
      <c r="B43" s="221"/>
      <c r="C43" s="222"/>
      <c r="D43" s="48"/>
      <c r="E43" s="48"/>
      <c r="F43" s="48"/>
      <c r="G43" s="48"/>
      <c r="H43" s="48"/>
      <c r="I43" s="48"/>
    </row>
    <row r="44" spans="1:10" s="12" customFormat="1" ht="18" customHeight="1" x14ac:dyDescent="0.2">
      <c r="B44" s="221"/>
      <c r="C44" s="222"/>
      <c r="D44" s="48"/>
      <c r="E44" s="48"/>
      <c r="F44" s="48"/>
      <c r="G44" s="48"/>
      <c r="H44" s="48"/>
      <c r="I44" s="48"/>
    </row>
    <row r="45" spans="1:10" s="12" customFormat="1" ht="18" customHeight="1" x14ac:dyDescent="0.2">
      <c r="B45" s="221"/>
      <c r="C45" s="222"/>
      <c r="D45" s="48"/>
      <c r="E45" s="48"/>
      <c r="F45" s="48"/>
      <c r="G45" s="48"/>
      <c r="H45" s="48"/>
      <c r="I45" s="48"/>
    </row>
    <row r="46" spans="1:10" s="12" customFormat="1" ht="18" customHeight="1" x14ac:dyDescent="0.2">
      <c r="B46" s="223"/>
      <c r="C46" s="224"/>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9" t="s">
        <v>123</v>
      </c>
      <c r="C49" s="220" t="s">
        <v>99</v>
      </c>
      <c r="D49" s="34"/>
      <c r="E49" s="34"/>
      <c r="F49" s="34"/>
      <c r="G49" s="34"/>
      <c r="H49" s="34"/>
      <c r="I49" s="34"/>
      <c r="J49" s="34"/>
    </row>
    <row r="50" spans="2:10" s="12" customFormat="1" ht="18" customHeight="1" x14ac:dyDescent="0.2">
      <c r="B50" s="221"/>
      <c r="C50" s="222"/>
      <c r="D50" s="58"/>
      <c r="E50" s="34"/>
      <c r="F50" s="34"/>
      <c r="G50" s="34"/>
      <c r="H50" s="34"/>
      <c r="I50" s="34"/>
      <c r="J50" s="34"/>
    </row>
    <row r="51" spans="2:10" s="12" customFormat="1" ht="18" customHeight="1" x14ac:dyDescent="0.2">
      <c r="B51" s="221"/>
      <c r="C51" s="222"/>
      <c r="D51" s="58"/>
      <c r="E51" s="34"/>
      <c r="F51" s="34"/>
      <c r="G51" s="34"/>
      <c r="H51" s="34"/>
      <c r="I51" s="34"/>
      <c r="J51" s="34"/>
    </row>
    <row r="52" spans="2:10" s="12" customFormat="1" ht="18" customHeight="1" x14ac:dyDescent="0.2">
      <c r="B52" s="221"/>
      <c r="C52" s="222"/>
      <c r="D52" s="58"/>
      <c r="E52" s="34"/>
      <c r="F52" s="34"/>
      <c r="G52" s="34"/>
      <c r="H52" s="34"/>
      <c r="I52" s="34"/>
      <c r="J52" s="34"/>
    </row>
    <row r="53" spans="2:10" s="12" customFormat="1" ht="18" customHeight="1" x14ac:dyDescent="0.2">
      <c r="B53" s="221"/>
      <c r="C53" s="222"/>
      <c r="D53" s="58"/>
      <c r="E53" s="34"/>
      <c r="F53" s="34"/>
      <c r="G53" s="34"/>
      <c r="H53" s="34"/>
      <c r="I53" s="34"/>
      <c r="J53" s="34"/>
    </row>
    <row r="54" spans="2:10" s="12" customFormat="1" ht="18" customHeight="1" x14ac:dyDescent="0.2">
      <c r="B54" s="221"/>
      <c r="C54" s="222"/>
      <c r="D54" s="58"/>
      <c r="E54" s="34"/>
      <c r="F54" s="34"/>
      <c r="G54" s="34"/>
      <c r="H54" s="34"/>
      <c r="I54" s="34"/>
      <c r="J54" s="34"/>
    </row>
    <row r="55" spans="2:10" s="12" customFormat="1" ht="18" customHeight="1" x14ac:dyDescent="0.2">
      <c r="B55" s="221"/>
      <c r="C55" s="222"/>
      <c r="D55" s="58"/>
      <c r="E55" s="34"/>
      <c r="F55" s="34"/>
      <c r="G55" s="34"/>
      <c r="H55" s="34"/>
      <c r="I55" s="34"/>
      <c r="J55" s="34"/>
    </row>
    <row r="56" spans="2:10" s="12" customFormat="1" ht="18" customHeight="1" x14ac:dyDescent="0.2">
      <c r="B56" s="221"/>
      <c r="C56" s="222"/>
      <c r="D56" s="58"/>
      <c r="E56" s="34"/>
      <c r="F56" s="34"/>
      <c r="G56" s="34"/>
      <c r="H56" s="34"/>
      <c r="I56" s="34"/>
      <c r="J56" s="34"/>
    </row>
    <row r="57" spans="2:10" s="12" customFormat="1" ht="18" customHeight="1" x14ac:dyDescent="0.2">
      <c r="B57" s="221"/>
      <c r="C57" s="222"/>
      <c r="D57" s="58"/>
      <c r="E57" s="34"/>
      <c r="F57" s="34"/>
      <c r="G57" s="34"/>
      <c r="H57" s="34"/>
      <c r="I57" s="34"/>
      <c r="J57" s="34"/>
    </row>
    <row r="58" spans="2:10" s="12" customFormat="1" ht="18" customHeight="1" x14ac:dyDescent="0.2">
      <c r="B58" s="221"/>
      <c r="C58" s="222"/>
      <c r="D58" s="58"/>
      <c r="E58" s="34"/>
      <c r="F58" s="34"/>
      <c r="G58" s="34"/>
      <c r="H58" s="34"/>
      <c r="I58" s="34"/>
      <c r="J58" s="34"/>
    </row>
    <row r="59" spans="2:10" s="12" customFormat="1" ht="18" customHeight="1" x14ac:dyDescent="0.2">
      <c r="B59" s="223"/>
      <c r="C59" s="224"/>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0" t="s">
        <v>460</v>
      </c>
      <c r="C3" s="231" t="s">
        <v>461</v>
      </c>
      <c r="D3" s="232" t="s">
        <v>462</v>
      </c>
    </row>
    <row r="4" spans="1:5" ht="15" x14ac:dyDescent="0.25">
      <c r="B4" s="277" t="s">
        <v>54</v>
      </c>
      <c r="C4" s="278"/>
      <c r="D4" s="279"/>
      <c r="E4" s="14"/>
    </row>
    <row r="5" spans="1:5" ht="35.25" customHeight="1" x14ac:dyDescent="0.2">
      <c r="B5" s="225"/>
      <c r="C5" s="156"/>
      <c r="D5" s="227"/>
      <c r="E5" s="14"/>
    </row>
    <row r="6" spans="1:5" ht="35.25" customHeight="1" x14ac:dyDescent="0.2">
      <c r="B6" s="225"/>
      <c r="C6" s="156"/>
      <c r="D6" s="228"/>
      <c r="E6" s="14"/>
    </row>
    <row r="7" spans="1:5" ht="35.25" customHeight="1" x14ac:dyDescent="0.2">
      <c r="B7" s="225"/>
      <c r="C7" s="156"/>
      <c r="D7" s="228"/>
      <c r="E7" s="14"/>
    </row>
    <row r="8" spans="1:5" ht="35.25" customHeight="1" x14ac:dyDescent="0.2">
      <c r="B8" s="225"/>
      <c r="C8" s="156"/>
      <c r="D8" s="228"/>
      <c r="E8" s="14"/>
    </row>
    <row r="9" spans="1:5" ht="35.25" customHeight="1" x14ac:dyDescent="0.2">
      <c r="B9" s="225"/>
      <c r="C9" s="156"/>
      <c r="D9" s="228"/>
      <c r="E9" s="14"/>
    </row>
    <row r="10" spans="1:5" ht="35.25" customHeight="1" x14ac:dyDescent="0.2">
      <c r="B10" s="225"/>
      <c r="C10" s="156"/>
      <c r="D10" s="228"/>
      <c r="E10" s="14"/>
    </row>
    <row r="11" spans="1:5" ht="35.25" customHeight="1" x14ac:dyDescent="0.2">
      <c r="B11" s="225"/>
      <c r="C11" s="156"/>
      <c r="D11" s="228"/>
      <c r="E11" s="14"/>
    </row>
    <row r="12" spans="1:5" ht="35.25" customHeight="1" x14ac:dyDescent="0.2">
      <c r="B12" s="226"/>
      <c r="C12" s="156"/>
      <c r="D12" s="228"/>
      <c r="E12" s="14"/>
    </row>
    <row r="13" spans="1:5" ht="35.25" customHeight="1" x14ac:dyDescent="0.2">
      <c r="B13" s="225"/>
      <c r="C13" s="156"/>
      <c r="D13" s="228"/>
      <c r="E13" s="14"/>
    </row>
    <row r="14" spans="1:5" ht="35.25" customHeight="1" x14ac:dyDescent="0.2">
      <c r="B14" s="225"/>
      <c r="C14" s="156"/>
      <c r="D14" s="228"/>
      <c r="E14" s="14"/>
    </row>
    <row r="15" spans="1:5" ht="35.25" customHeight="1" x14ac:dyDescent="0.2">
      <c r="B15" s="225"/>
      <c r="C15" s="156"/>
      <c r="D15" s="228"/>
      <c r="E15" s="14"/>
    </row>
    <row r="16" spans="1:5" ht="35.25" customHeight="1" x14ac:dyDescent="0.2">
      <c r="B16" s="225"/>
      <c r="C16" s="156"/>
      <c r="D16" s="228"/>
      <c r="E16" s="14"/>
    </row>
    <row r="17" spans="2:5" ht="35.25" customHeight="1" x14ac:dyDescent="0.2">
      <c r="B17" s="225"/>
      <c r="C17" s="156"/>
      <c r="D17" s="228"/>
      <c r="E17" s="14"/>
    </row>
    <row r="18" spans="2:5" ht="35.25" customHeight="1" x14ac:dyDescent="0.2">
      <c r="B18" s="225"/>
      <c r="C18" s="156"/>
      <c r="D18" s="228"/>
      <c r="E18" s="14"/>
    </row>
    <row r="19" spans="2:5" ht="35.25" customHeight="1" x14ac:dyDescent="0.2">
      <c r="B19" s="225"/>
      <c r="C19" s="156"/>
      <c r="D19" s="228"/>
      <c r="E19" s="14"/>
    </row>
    <row r="20" spans="2:5" ht="35.25" customHeight="1" x14ac:dyDescent="0.2">
      <c r="B20" s="225"/>
      <c r="C20" s="156"/>
      <c r="D20" s="228"/>
      <c r="E20" s="14"/>
    </row>
    <row r="21" spans="2:5" ht="35.25" customHeight="1" x14ac:dyDescent="0.2">
      <c r="B21" s="225"/>
      <c r="C21" s="156"/>
      <c r="D21" s="228"/>
      <c r="E21" s="14"/>
    </row>
    <row r="22" spans="2:5" ht="35.25" customHeight="1" x14ac:dyDescent="0.2">
      <c r="B22" s="225"/>
      <c r="C22" s="156"/>
      <c r="D22" s="228"/>
      <c r="E22" s="14"/>
    </row>
    <row r="23" spans="2:5" ht="35.25" customHeight="1" x14ac:dyDescent="0.2">
      <c r="B23" s="225"/>
      <c r="C23" s="156"/>
      <c r="D23" s="228"/>
      <c r="E23" s="14"/>
    </row>
    <row r="24" spans="2:5" ht="35.25" customHeight="1" x14ac:dyDescent="0.2">
      <c r="B24" s="225"/>
      <c r="C24" s="157"/>
      <c r="D24" s="228"/>
      <c r="E24" s="14"/>
    </row>
    <row r="25" spans="2:5" ht="16.5" x14ac:dyDescent="0.25">
      <c r="B25" s="280" t="s">
        <v>55</v>
      </c>
      <c r="C25" s="281"/>
      <c r="D25" s="282"/>
      <c r="E25" s="14"/>
    </row>
    <row r="26" spans="2:5" ht="15" x14ac:dyDescent="0.25">
      <c r="B26" s="283" t="s">
        <v>67</v>
      </c>
      <c r="C26" s="284"/>
      <c r="D26" s="285"/>
      <c r="E26" s="14"/>
    </row>
    <row r="27" spans="2:5" ht="35.25" customHeight="1" x14ac:dyDescent="0.2">
      <c r="B27" s="225"/>
      <c r="C27" s="156"/>
      <c r="D27" s="229"/>
      <c r="E27" s="14"/>
    </row>
    <row r="28" spans="2:5" ht="35.25" customHeight="1" x14ac:dyDescent="0.2">
      <c r="B28" s="225"/>
      <c r="C28" s="156"/>
      <c r="D28" s="228"/>
      <c r="E28" s="14"/>
    </row>
    <row r="29" spans="2:5" ht="35.25" customHeight="1" x14ac:dyDescent="0.2">
      <c r="B29" s="225"/>
      <c r="C29" s="156"/>
      <c r="D29" s="228"/>
      <c r="E29" s="14"/>
    </row>
    <row r="30" spans="2:5" ht="35.25" customHeight="1" x14ac:dyDescent="0.2">
      <c r="B30" s="225"/>
      <c r="C30" s="156"/>
      <c r="D30" s="228"/>
      <c r="E30" s="14"/>
    </row>
    <row r="31" spans="2:5" ht="35.25" customHeight="1" x14ac:dyDescent="0.2">
      <c r="B31" s="225"/>
      <c r="C31" s="156"/>
      <c r="D31" s="228"/>
      <c r="E31" s="14"/>
    </row>
    <row r="32" spans="2:5" ht="35.25" customHeight="1" x14ac:dyDescent="0.2">
      <c r="B32" s="225"/>
      <c r="C32" s="156"/>
      <c r="D32" s="228"/>
      <c r="E32" s="14"/>
    </row>
    <row r="33" spans="2:5" ht="15" x14ac:dyDescent="0.25">
      <c r="B33" s="286" t="s">
        <v>68</v>
      </c>
      <c r="C33" s="287"/>
      <c r="D33" s="288"/>
      <c r="E33" s="14"/>
    </row>
    <row r="34" spans="2:5" ht="35.25" customHeight="1" x14ac:dyDescent="0.2">
      <c r="B34" s="225"/>
      <c r="C34" s="156"/>
      <c r="D34" s="228"/>
      <c r="E34" s="14"/>
    </row>
    <row r="35" spans="2:5" ht="35.25" customHeight="1" x14ac:dyDescent="0.2">
      <c r="B35" s="225"/>
      <c r="C35" s="156"/>
      <c r="D35" s="228"/>
      <c r="E35" s="14"/>
    </row>
    <row r="36" spans="2:5" ht="35.25" customHeight="1" x14ac:dyDescent="0.2">
      <c r="B36" s="225"/>
      <c r="C36" s="156"/>
      <c r="D36" s="228"/>
      <c r="E36" s="14"/>
    </row>
    <row r="37" spans="2:5" ht="35.25" customHeight="1" x14ac:dyDescent="0.2">
      <c r="B37" s="225"/>
      <c r="C37" s="156"/>
      <c r="D37" s="228"/>
      <c r="E37" s="14"/>
    </row>
    <row r="38" spans="2:5" ht="35.25" customHeight="1" x14ac:dyDescent="0.2">
      <c r="B38" s="225"/>
      <c r="C38" s="156"/>
      <c r="D38" s="228"/>
      <c r="E38" s="14"/>
    </row>
    <row r="39" spans="2:5" ht="35.25" customHeight="1" x14ac:dyDescent="0.2">
      <c r="B39" s="225"/>
      <c r="C39" s="157"/>
      <c r="D39" s="228"/>
      <c r="E39" s="14"/>
    </row>
    <row r="40" spans="2:5" ht="15" x14ac:dyDescent="0.25">
      <c r="B40" s="286" t="s">
        <v>126</v>
      </c>
      <c r="C40" s="287"/>
      <c r="D40" s="288"/>
      <c r="E40" s="14"/>
    </row>
    <row r="41" spans="2:5" ht="35.25" customHeight="1" x14ac:dyDescent="0.2">
      <c r="B41" s="225"/>
      <c r="C41" s="156"/>
      <c r="D41" s="228"/>
      <c r="E41" s="14"/>
    </row>
    <row r="42" spans="2:5" ht="35.25" customHeight="1" x14ac:dyDescent="0.2">
      <c r="B42" s="225"/>
      <c r="C42" s="156"/>
      <c r="D42" s="228"/>
      <c r="E42" s="14"/>
    </row>
    <row r="43" spans="2:5" ht="35.25" customHeight="1" x14ac:dyDescent="0.2">
      <c r="B43" s="225"/>
      <c r="C43" s="156"/>
      <c r="D43" s="228"/>
      <c r="E43" s="14"/>
    </row>
    <row r="44" spans="2:5" ht="35.25" customHeight="1" x14ac:dyDescent="0.2">
      <c r="B44" s="225"/>
      <c r="C44" s="156"/>
      <c r="D44" s="228"/>
      <c r="E44" s="14"/>
    </row>
    <row r="45" spans="2:5" ht="35.25" customHeight="1" x14ac:dyDescent="0.2">
      <c r="B45" s="225"/>
      <c r="C45" s="156"/>
      <c r="D45" s="228"/>
      <c r="E45" s="14"/>
    </row>
    <row r="46" spans="2:5" ht="35.25" customHeight="1" x14ac:dyDescent="0.2">
      <c r="B46" s="225"/>
      <c r="C46" s="157"/>
      <c r="D46" s="228"/>
      <c r="E46" s="14"/>
    </row>
    <row r="47" spans="2:5" ht="15" x14ac:dyDescent="0.25">
      <c r="B47" s="286" t="s">
        <v>69</v>
      </c>
      <c r="C47" s="287"/>
      <c r="D47" s="288"/>
      <c r="E47" s="14"/>
    </row>
    <row r="48" spans="2:5" ht="35.25" customHeight="1" x14ac:dyDescent="0.2">
      <c r="B48" s="225"/>
      <c r="C48" s="156"/>
      <c r="D48" s="228"/>
      <c r="E48" s="14"/>
    </row>
    <row r="49" spans="2:5" ht="35.25" customHeight="1" x14ac:dyDescent="0.2">
      <c r="B49" s="225"/>
      <c r="C49" s="156"/>
      <c r="D49" s="228"/>
      <c r="E49" s="14"/>
    </row>
    <row r="50" spans="2:5" ht="35.25" customHeight="1" x14ac:dyDescent="0.2">
      <c r="B50" s="225"/>
      <c r="C50" s="156"/>
      <c r="D50" s="228"/>
      <c r="E50" s="14"/>
    </row>
    <row r="51" spans="2:5" ht="35.25" customHeight="1" x14ac:dyDescent="0.2">
      <c r="B51" s="225"/>
      <c r="C51" s="156"/>
      <c r="D51" s="228"/>
      <c r="E51" s="14"/>
    </row>
    <row r="52" spans="2:5" ht="35.25" customHeight="1" x14ac:dyDescent="0.2">
      <c r="B52" s="225"/>
      <c r="C52" s="156"/>
      <c r="D52" s="228"/>
      <c r="E52" s="14"/>
    </row>
    <row r="53" spans="2:5" ht="35.25" customHeight="1" x14ac:dyDescent="0.2">
      <c r="B53" s="225"/>
      <c r="C53" s="157"/>
      <c r="D53" s="228"/>
      <c r="E53" s="14"/>
    </row>
    <row r="54" spans="2:5" ht="16.5" x14ac:dyDescent="0.25">
      <c r="B54" s="280" t="s">
        <v>56</v>
      </c>
      <c r="C54" s="281"/>
      <c r="D54" s="282"/>
      <c r="E54" s="14"/>
    </row>
    <row r="55" spans="2:5" ht="15" x14ac:dyDescent="0.25">
      <c r="B55" s="283" t="s">
        <v>127</v>
      </c>
      <c r="C55" s="284"/>
      <c r="D55" s="285"/>
      <c r="E55" s="14"/>
    </row>
    <row r="56" spans="2:5" ht="35.25" customHeight="1" x14ac:dyDescent="0.2">
      <c r="B56" s="225"/>
      <c r="C56" s="158"/>
      <c r="D56" s="228"/>
      <c r="E56" s="14"/>
    </row>
    <row r="57" spans="2:5" ht="35.25" customHeight="1" x14ac:dyDescent="0.2">
      <c r="B57" s="225"/>
      <c r="C57" s="158"/>
      <c r="D57" s="228"/>
      <c r="E57" s="14"/>
    </row>
    <row r="58" spans="2:5" ht="35.25" customHeight="1" x14ac:dyDescent="0.2">
      <c r="B58" s="225"/>
      <c r="C58" s="158"/>
      <c r="D58" s="228"/>
      <c r="E58" s="14"/>
    </row>
    <row r="59" spans="2:5" ht="35.25" customHeight="1" x14ac:dyDescent="0.2">
      <c r="B59" s="225"/>
      <c r="C59" s="158"/>
      <c r="D59" s="228"/>
      <c r="E59" s="14"/>
    </row>
    <row r="60" spans="2:5" ht="35.25" customHeight="1" x14ac:dyDescent="0.2">
      <c r="B60" s="225"/>
      <c r="C60" s="158"/>
      <c r="D60" s="228"/>
      <c r="E60" s="14"/>
    </row>
    <row r="61" spans="2:5" ht="35.25" customHeight="1" x14ac:dyDescent="0.2">
      <c r="B61" s="225"/>
      <c r="C61" s="158"/>
      <c r="D61" s="228"/>
      <c r="E61" s="14"/>
    </row>
    <row r="62" spans="2:5" ht="35.25" customHeight="1" x14ac:dyDescent="0.2">
      <c r="B62" s="225"/>
      <c r="C62" s="158"/>
      <c r="D62" s="228"/>
      <c r="E62" s="14"/>
    </row>
    <row r="63" spans="2:5" ht="35.25" customHeight="1" x14ac:dyDescent="0.2">
      <c r="B63" s="225"/>
      <c r="C63" s="158"/>
      <c r="D63" s="228"/>
      <c r="E63" s="14"/>
    </row>
    <row r="64" spans="2:5" ht="35.25" customHeight="1" x14ac:dyDescent="0.2">
      <c r="B64" s="225"/>
      <c r="C64" s="158"/>
      <c r="D64" s="228"/>
      <c r="E64" s="14"/>
    </row>
    <row r="65" spans="2:5" ht="35.25" customHeight="1" x14ac:dyDescent="0.2">
      <c r="B65" s="225"/>
      <c r="C65" s="158"/>
      <c r="D65" s="228"/>
      <c r="E65" s="14"/>
    </row>
    <row r="66" spans="2:5" ht="15" x14ac:dyDescent="0.25">
      <c r="B66" s="286" t="s">
        <v>113</v>
      </c>
      <c r="C66" s="287"/>
      <c r="D66" s="288"/>
      <c r="E66" s="14"/>
    </row>
    <row r="67" spans="2:5" ht="35.25" customHeight="1" x14ac:dyDescent="0.2">
      <c r="B67" s="225"/>
      <c r="C67" s="158"/>
      <c r="D67" s="228"/>
      <c r="E67" s="14"/>
    </row>
    <row r="68" spans="2:5" ht="35.25" customHeight="1" x14ac:dyDescent="0.2">
      <c r="B68" s="225"/>
      <c r="C68" s="158"/>
      <c r="D68" s="228"/>
      <c r="E68" s="14"/>
    </row>
    <row r="69" spans="2:5" ht="35.25" customHeight="1" x14ac:dyDescent="0.2">
      <c r="B69" s="225"/>
      <c r="C69" s="158"/>
      <c r="D69" s="228"/>
      <c r="E69" s="14"/>
    </row>
    <row r="70" spans="2:5" ht="35.25" customHeight="1" x14ac:dyDescent="0.2">
      <c r="B70" s="225"/>
      <c r="C70" s="158"/>
      <c r="D70" s="228"/>
      <c r="E70" s="14"/>
    </row>
    <row r="71" spans="2:5" ht="35.25" customHeight="1" x14ac:dyDescent="0.2">
      <c r="B71" s="225"/>
      <c r="C71" s="158"/>
      <c r="D71" s="228"/>
      <c r="E71" s="14"/>
    </row>
    <row r="72" spans="2:5" ht="35.25" customHeight="1" x14ac:dyDescent="0.2">
      <c r="B72" s="225"/>
      <c r="C72" s="158"/>
      <c r="D72" s="228"/>
      <c r="E72" s="14"/>
    </row>
    <row r="73" spans="2:5" ht="35.25" customHeight="1" x14ac:dyDescent="0.2">
      <c r="B73" s="225"/>
      <c r="C73" s="158"/>
      <c r="D73" s="228"/>
      <c r="E73" s="14"/>
    </row>
    <row r="74" spans="2:5" ht="35.25" customHeight="1" x14ac:dyDescent="0.2">
      <c r="B74" s="225"/>
      <c r="C74" s="158"/>
      <c r="D74" s="228"/>
      <c r="E74" s="14"/>
    </row>
    <row r="75" spans="2:5" ht="35.25" customHeight="1" x14ac:dyDescent="0.2">
      <c r="B75" s="225"/>
      <c r="C75" s="158"/>
      <c r="D75" s="228"/>
      <c r="E75" s="14"/>
    </row>
    <row r="76" spans="2:5" ht="35.25" customHeight="1" x14ac:dyDescent="0.2">
      <c r="B76" s="225"/>
      <c r="C76" s="158"/>
      <c r="D76" s="228"/>
      <c r="E76" s="14"/>
    </row>
    <row r="77" spans="2:5" ht="15" x14ac:dyDescent="0.25">
      <c r="B77" s="286" t="s">
        <v>70</v>
      </c>
      <c r="C77" s="287"/>
      <c r="D77" s="288"/>
      <c r="E77" s="14"/>
    </row>
    <row r="78" spans="2:5" ht="35.25" customHeight="1" x14ac:dyDescent="0.2">
      <c r="B78" s="225"/>
      <c r="C78" s="158"/>
      <c r="D78" s="228"/>
      <c r="E78" s="14"/>
    </row>
    <row r="79" spans="2:5" ht="35.25" customHeight="1" x14ac:dyDescent="0.2">
      <c r="B79" s="225"/>
      <c r="C79" s="158"/>
      <c r="D79" s="228"/>
      <c r="E79" s="14"/>
    </row>
    <row r="80" spans="2:5" ht="35.25" customHeight="1" x14ac:dyDescent="0.2">
      <c r="B80" s="225"/>
      <c r="C80" s="158"/>
      <c r="D80" s="228"/>
      <c r="E80" s="14"/>
    </row>
    <row r="81" spans="2:5" ht="35.25" customHeight="1" x14ac:dyDescent="0.2">
      <c r="B81" s="225"/>
      <c r="C81" s="158"/>
      <c r="D81" s="228"/>
      <c r="E81" s="14"/>
    </row>
    <row r="82" spans="2:5" ht="35.25" customHeight="1" x14ac:dyDescent="0.2">
      <c r="B82" s="225"/>
      <c r="C82" s="158"/>
      <c r="D82" s="228"/>
      <c r="E82" s="14"/>
    </row>
    <row r="83" spans="2:5" ht="35.25" customHeight="1" x14ac:dyDescent="0.2">
      <c r="B83" s="225"/>
      <c r="C83" s="158"/>
      <c r="D83" s="228"/>
      <c r="E83" s="14"/>
    </row>
    <row r="84" spans="2:5" ht="35.25" customHeight="1" x14ac:dyDescent="0.2">
      <c r="B84" s="225"/>
      <c r="C84" s="158"/>
      <c r="D84" s="228"/>
      <c r="E84" s="14"/>
    </row>
    <row r="85" spans="2:5" ht="35.25" customHeight="1" x14ac:dyDescent="0.2">
      <c r="B85" s="225"/>
      <c r="C85" s="158"/>
      <c r="D85" s="228"/>
      <c r="E85" s="14"/>
    </row>
    <row r="86" spans="2:5" ht="35.25" customHeight="1" x14ac:dyDescent="0.2">
      <c r="B86" s="225"/>
      <c r="C86" s="158"/>
      <c r="D86" s="228"/>
      <c r="E86" s="14"/>
    </row>
    <row r="87" spans="2:5" ht="35.25" customHeight="1" x14ac:dyDescent="0.2">
      <c r="B87" s="225"/>
      <c r="C87" s="158"/>
      <c r="D87" s="228"/>
      <c r="E87" s="14"/>
    </row>
    <row r="88" spans="2:5" ht="15" x14ac:dyDescent="0.25">
      <c r="B88" s="286" t="s">
        <v>71</v>
      </c>
      <c r="C88" s="287"/>
      <c r="D88" s="288"/>
      <c r="E88" s="14"/>
    </row>
    <row r="89" spans="2:5" ht="35.25" customHeight="1" x14ac:dyDescent="0.2">
      <c r="B89" s="225"/>
      <c r="C89" s="158"/>
      <c r="D89" s="228"/>
      <c r="E89" s="14"/>
    </row>
    <row r="90" spans="2:5" ht="35.25" customHeight="1" x14ac:dyDescent="0.2">
      <c r="B90" s="225"/>
      <c r="C90" s="158"/>
      <c r="D90" s="228"/>
      <c r="E90" s="14"/>
    </row>
    <row r="91" spans="2:5" ht="35.25" customHeight="1" x14ac:dyDescent="0.2">
      <c r="B91" s="225"/>
      <c r="C91" s="158"/>
      <c r="D91" s="228"/>
      <c r="E91" s="14"/>
    </row>
    <row r="92" spans="2:5" ht="35.25" customHeight="1" x14ac:dyDescent="0.2">
      <c r="B92" s="225"/>
      <c r="C92" s="158"/>
      <c r="D92" s="228"/>
      <c r="E92" s="14"/>
    </row>
    <row r="93" spans="2:5" ht="35.25" customHeight="1" x14ac:dyDescent="0.2">
      <c r="B93" s="225"/>
      <c r="C93" s="158"/>
      <c r="D93" s="228"/>
      <c r="E93" s="14"/>
    </row>
    <row r="94" spans="2:5" ht="35.25" customHeight="1" x14ac:dyDescent="0.2">
      <c r="B94" s="225"/>
      <c r="C94" s="158"/>
      <c r="D94" s="228"/>
      <c r="E94" s="14"/>
    </row>
    <row r="95" spans="2:5" ht="35.25" customHeight="1" x14ac:dyDescent="0.2">
      <c r="B95" s="225"/>
      <c r="C95" s="158"/>
      <c r="D95" s="228"/>
      <c r="E95" s="14"/>
    </row>
    <row r="96" spans="2:5" ht="35.25" customHeight="1" x14ac:dyDescent="0.2">
      <c r="B96" s="225"/>
      <c r="C96" s="158"/>
      <c r="D96" s="228"/>
      <c r="E96" s="14"/>
    </row>
    <row r="97" spans="2:5" ht="35.25" customHeight="1" x14ac:dyDescent="0.2">
      <c r="B97" s="225"/>
      <c r="C97" s="158"/>
      <c r="D97" s="228"/>
      <c r="E97" s="14"/>
    </row>
    <row r="98" spans="2:5" ht="35.25" customHeight="1" x14ac:dyDescent="0.2">
      <c r="B98" s="225"/>
      <c r="C98" s="158"/>
      <c r="D98" s="228"/>
      <c r="E98" s="14"/>
    </row>
    <row r="99" spans="2:5" ht="15" x14ac:dyDescent="0.25">
      <c r="B99" s="286" t="s">
        <v>199</v>
      </c>
      <c r="C99" s="287"/>
      <c r="D99" s="288"/>
      <c r="E99" s="14"/>
    </row>
    <row r="100" spans="2:5" ht="35.25" customHeight="1" x14ac:dyDescent="0.2">
      <c r="B100" s="225"/>
      <c r="C100" s="158"/>
      <c r="D100" s="228"/>
      <c r="E100" s="14"/>
    </row>
    <row r="101" spans="2:5" ht="35.25" customHeight="1" x14ac:dyDescent="0.2">
      <c r="B101" s="225"/>
      <c r="C101" s="158"/>
      <c r="D101" s="228"/>
      <c r="E101" s="14"/>
    </row>
    <row r="102" spans="2:5" ht="35.25" customHeight="1" x14ac:dyDescent="0.2">
      <c r="B102" s="225"/>
      <c r="C102" s="158"/>
      <c r="D102" s="228"/>
      <c r="E102" s="14"/>
    </row>
    <row r="103" spans="2:5" ht="35.25" customHeight="1" x14ac:dyDescent="0.2">
      <c r="B103" s="225"/>
      <c r="C103" s="158"/>
      <c r="D103" s="228"/>
      <c r="E103" s="14"/>
    </row>
    <row r="104" spans="2:5" ht="35.25" customHeight="1" x14ac:dyDescent="0.2">
      <c r="B104" s="225"/>
      <c r="C104" s="158"/>
      <c r="D104" s="228"/>
      <c r="E104" s="14"/>
    </row>
    <row r="105" spans="2:5" ht="35.25" customHeight="1" x14ac:dyDescent="0.2">
      <c r="B105" s="225"/>
      <c r="C105" s="158"/>
      <c r="D105" s="228"/>
      <c r="E105" s="14"/>
    </row>
    <row r="106" spans="2:5" ht="35.25" customHeight="1" x14ac:dyDescent="0.2">
      <c r="B106" s="225"/>
      <c r="C106" s="158"/>
      <c r="D106" s="228"/>
      <c r="E106" s="14"/>
    </row>
    <row r="107" spans="2:5" ht="35.25" customHeight="1" x14ac:dyDescent="0.2">
      <c r="B107" s="225"/>
      <c r="C107" s="158"/>
      <c r="D107" s="228"/>
      <c r="E107" s="14"/>
    </row>
    <row r="108" spans="2:5" ht="35.25" customHeight="1" x14ac:dyDescent="0.2">
      <c r="B108" s="225"/>
      <c r="C108" s="158"/>
      <c r="D108" s="228"/>
      <c r="E108" s="14"/>
    </row>
    <row r="109" spans="2:5" ht="35.25" customHeight="1" x14ac:dyDescent="0.2">
      <c r="B109" s="225"/>
      <c r="C109" s="158"/>
      <c r="D109" s="228"/>
      <c r="E109" s="14"/>
    </row>
    <row r="110" spans="2:5" s="12" customFormat="1" ht="15" x14ac:dyDescent="0.25">
      <c r="B110" s="286" t="s">
        <v>100</v>
      </c>
      <c r="C110" s="287"/>
      <c r="D110" s="288"/>
      <c r="E110" s="34"/>
    </row>
    <row r="111" spans="2:5" s="12" customFormat="1" ht="35.25" customHeight="1" x14ac:dyDescent="0.2">
      <c r="B111" s="225"/>
      <c r="C111" s="158"/>
      <c r="D111" s="228"/>
      <c r="E111" s="34"/>
    </row>
    <row r="112" spans="2:5" s="12" customFormat="1" ht="35.25" customHeight="1" x14ac:dyDescent="0.2">
      <c r="B112" s="225"/>
      <c r="C112" s="158"/>
      <c r="D112" s="228"/>
      <c r="E112" s="34"/>
    </row>
    <row r="113" spans="2:5" s="12" customFormat="1" ht="35.25" customHeight="1" x14ac:dyDescent="0.2">
      <c r="B113" s="225"/>
      <c r="C113" s="158"/>
      <c r="D113" s="228"/>
      <c r="E113" s="34"/>
    </row>
    <row r="114" spans="2:5" s="12" customFormat="1" ht="35.25" customHeight="1" x14ac:dyDescent="0.2">
      <c r="B114" s="225"/>
      <c r="C114" s="158"/>
      <c r="D114" s="228"/>
      <c r="E114" s="34"/>
    </row>
    <row r="115" spans="2:5" s="12" customFormat="1" ht="35.25" customHeight="1" x14ac:dyDescent="0.2">
      <c r="B115" s="225"/>
      <c r="C115" s="158"/>
      <c r="D115" s="228"/>
      <c r="E115" s="34"/>
    </row>
    <row r="116" spans="2:5" s="12" customFormat="1" ht="35.25" customHeight="1" x14ac:dyDescent="0.2">
      <c r="B116" s="225"/>
      <c r="C116" s="158"/>
      <c r="D116" s="228"/>
      <c r="E116" s="34"/>
    </row>
    <row r="117" spans="2:5" s="12" customFormat="1" ht="35.25" customHeight="1" x14ac:dyDescent="0.2">
      <c r="B117" s="225"/>
      <c r="C117" s="158"/>
      <c r="D117" s="228"/>
      <c r="E117" s="34"/>
    </row>
    <row r="118" spans="2:5" s="12" customFormat="1" ht="35.25" customHeight="1" x14ac:dyDescent="0.2">
      <c r="B118" s="225"/>
      <c r="C118" s="158"/>
      <c r="D118" s="228"/>
      <c r="E118" s="34"/>
    </row>
    <row r="119" spans="2:5" s="12" customFormat="1" ht="35.25" customHeight="1" x14ac:dyDescent="0.2">
      <c r="B119" s="225"/>
      <c r="C119" s="158"/>
      <c r="D119" s="228"/>
      <c r="E119" s="34"/>
    </row>
    <row r="120" spans="2:5" s="12" customFormat="1" ht="35.25" customHeight="1" x14ac:dyDescent="0.2">
      <c r="B120" s="225"/>
      <c r="C120" s="158"/>
      <c r="D120" s="228"/>
      <c r="E120" s="34"/>
    </row>
    <row r="121" spans="2:5" ht="16.5" x14ac:dyDescent="0.25">
      <c r="B121" s="280" t="s">
        <v>57</v>
      </c>
      <c r="C121" s="281"/>
      <c r="D121" s="282"/>
      <c r="E121" s="14"/>
    </row>
    <row r="122" spans="2:5" ht="15" x14ac:dyDescent="0.25">
      <c r="B122" s="286" t="s">
        <v>72</v>
      </c>
      <c r="C122" s="287"/>
      <c r="D122" s="288"/>
      <c r="E122" s="14"/>
    </row>
    <row r="123" spans="2:5" ht="35.25" customHeight="1" x14ac:dyDescent="0.2">
      <c r="B123" s="225"/>
      <c r="C123" s="156"/>
      <c r="D123" s="228"/>
      <c r="E123" s="14"/>
    </row>
    <row r="124" spans="2:5" s="12" customFormat="1" ht="35.25" customHeight="1" x14ac:dyDescent="0.2">
      <c r="B124" s="225"/>
      <c r="C124" s="156"/>
      <c r="D124" s="228"/>
      <c r="E124" s="34"/>
    </row>
    <row r="125" spans="2:5" s="12" customFormat="1" ht="35.25" customHeight="1" x14ac:dyDescent="0.2">
      <c r="B125" s="225"/>
      <c r="C125" s="156"/>
      <c r="D125" s="228"/>
      <c r="E125" s="34"/>
    </row>
    <row r="126" spans="2:5" s="12" customFormat="1" ht="35.25" customHeight="1" x14ac:dyDescent="0.2">
      <c r="B126" s="225"/>
      <c r="C126" s="156"/>
      <c r="D126" s="228"/>
      <c r="E126" s="34"/>
    </row>
    <row r="127" spans="2:5" s="12" customFormat="1" ht="35.25" customHeight="1" x14ac:dyDescent="0.2">
      <c r="B127" s="225"/>
      <c r="C127" s="156"/>
      <c r="D127" s="228"/>
      <c r="E127" s="34"/>
    </row>
    <row r="128" spans="2:5" s="12" customFormat="1" ht="35.25" customHeight="1" x14ac:dyDescent="0.2">
      <c r="B128" s="225"/>
      <c r="C128" s="156"/>
      <c r="D128" s="228"/>
      <c r="E128" s="34"/>
    </row>
    <row r="129" spans="2:5" s="12" customFormat="1" ht="35.25" customHeight="1" x14ac:dyDescent="0.2">
      <c r="B129" s="225"/>
      <c r="C129" s="156"/>
      <c r="D129" s="228"/>
      <c r="E129" s="34"/>
    </row>
    <row r="130" spans="2:5" s="12" customFormat="1" ht="35.25" customHeight="1" x14ac:dyDescent="0.2">
      <c r="B130" s="225"/>
      <c r="C130" s="156"/>
      <c r="D130" s="228"/>
      <c r="E130" s="34"/>
    </row>
    <row r="131" spans="2:5" s="12" customFormat="1" ht="35.25" customHeight="1" x14ac:dyDescent="0.2">
      <c r="B131" s="225"/>
      <c r="C131" s="156"/>
      <c r="D131" s="228"/>
      <c r="E131" s="34"/>
    </row>
    <row r="132" spans="2:5" s="12" customFormat="1" ht="35.25" customHeight="1" x14ac:dyDescent="0.2">
      <c r="B132" s="225"/>
      <c r="C132" s="157"/>
      <c r="D132" s="228"/>
      <c r="E132" s="34"/>
    </row>
    <row r="133" spans="2:5" ht="15" x14ac:dyDescent="0.25">
      <c r="B133" s="286" t="s">
        <v>73</v>
      </c>
      <c r="C133" s="287"/>
      <c r="D133" s="288"/>
      <c r="E133" s="14"/>
    </row>
    <row r="134" spans="2:5" s="12" customFormat="1" ht="35.25" customHeight="1" x14ac:dyDescent="0.2">
      <c r="B134" s="225"/>
      <c r="C134" s="156"/>
      <c r="D134" s="228"/>
      <c r="E134" s="34"/>
    </row>
    <row r="135" spans="2:5" s="12" customFormat="1" ht="35.25" customHeight="1" x14ac:dyDescent="0.2">
      <c r="B135" s="225"/>
      <c r="C135" s="156"/>
      <c r="D135" s="228"/>
      <c r="E135" s="34"/>
    </row>
    <row r="136" spans="2:5" s="12" customFormat="1" ht="35.25" customHeight="1" x14ac:dyDescent="0.2">
      <c r="B136" s="225"/>
      <c r="C136" s="156"/>
      <c r="D136" s="228"/>
      <c r="E136" s="34"/>
    </row>
    <row r="137" spans="2:5" s="12" customFormat="1" ht="35.25" customHeight="1" x14ac:dyDescent="0.2">
      <c r="B137" s="225"/>
      <c r="C137" s="156"/>
      <c r="D137" s="228"/>
      <c r="E137" s="34"/>
    </row>
    <row r="138" spans="2:5" s="12" customFormat="1" ht="35.25" customHeight="1" x14ac:dyDescent="0.2">
      <c r="B138" s="225"/>
      <c r="C138" s="156"/>
      <c r="D138" s="228"/>
      <c r="E138" s="34"/>
    </row>
    <row r="139" spans="2:5" s="12" customFormat="1" ht="35.25" customHeight="1" x14ac:dyDescent="0.2">
      <c r="B139" s="225"/>
      <c r="C139" s="156"/>
      <c r="D139" s="228"/>
      <c r="E139" s="34"/>
    </row>
    <row r="140" spans="2:5" s="12" customFormat="1" ht="35.25" customHeight="1" x14ac:dyDescent="0.2">
      <c r="B140" s="225"/>
      <c r="C140" s="156"/>
      <c r="D140" s="228"/>
      <c r="E140" s="34"/>
    </row>
    <row r="141" spans="2:5" s="12" customFormat="1" ht="35.25" customHeight="1" x14ac:dyDescent="0.2">
      <c r="B141" s="225"/>
      <c r="C141" s="156"/>
      <c r="D141" s="228"/>
      <c r="E141" s="34"/>
    </row>
    <row r="142" spans="2:5" s="12" customFormat="1" ht="35.25" customHeight="1" x14ac:dyDescent="0.2">
      <c r="B142" s="225"/>
      <c r="C142" s="156"/>
      <c r="D142" s="228"/>
      <c r="E142" s="34"/>
    </row>
    <row r="143" spans="2:5" s="12" customFormat="1" ht="35.25" customHeight="1" x14ac:dyDescent="0.2">
      <c r="B143" s="225"/>
      <c r="C143" s="157"/>
      <c r="D143" s="228"/>
      <c r="E143" s="34"/>
    </row>
    <row r="144" spans="2:5" ht="15" x14ac:dyDescent="0.25">
      <c r="B144" s="286" t="s">
        <v>74</v>
      </c>
      <c r="C144" s="287"/>
      <c r="D144" s="288"/>
      <c r="E144" s="14"/>
    </row>
    <row r="145" spans="2:5" s="12" customFormat="1" ht="35.25" customHeight="1" x14ac:dyDescent="0.2">
      <c r="B145" s="225"/>
      <c r="C145" s="156"/>
      <c r="D145" s="228"/>
      <c r="E145" s="34"/>
    </row>
    <row r="146" spans="2:5" s="12" customFormat="1" ht="35.25" customHeight="1" x14ac:dyDescent="0.2">
      <c r="B146" s="225"/>
      <c r="C146" s="156"/>
      <c r="D146" s="228"/>
      <c r="E146" s="34"/>
    </row>
    <row r="147" spans="2:5" s="12" customFormat="1" ht="35.25" customHeight="1" x14ac:dyDescent="0.2">
      <c r="B147" s="225"/>
      <c r="C147" s="156"/>
      <c r="D147" s="228"/>
      <c r="E147" s="34"/>
    </row>
    <row r="148" spans="2:5" s="12" customFormat="1" ht="35.25" customHeight="1" x14ac:dyDescent="0.2">
      <c r="B148" s="225"/>
      <c r="C148" s="156"/>
      <c r="D148" s="228"/>
      <c r="E148" s="34"/>
    </row>
    <row r="149" spans="2:5" s="12" customFormat="1" ht="35.25" customHeight="1" x14ac:dyDescent="0.2">
      <c r="B149" s="225"/>
      <c r="C149" s="156"/>
      <c r="D149" s="228"/>
      <c r="E149" s="34"/>
    </row>
    <row r="150" spans="2:5" s="12" customFormat="1" ht="35.25" customHeight="1" x14ac:dyDescent="0.2">
      <c r="B150" s="225"/>
      <c r="C150" s="156"/>
      <c r="D150" s="228"/>
      <c r="E150" s="34"/>
    </row>
    <row r="151" spans="2:5" s="12" customFormat="1" ht="35.25" customHeight="1" x14ac:dyDescent="0.2">
      <c r="B151" s="225"/>
      <c r="C151" s="156"/>
      <c r="D151" s="228"/>
      <c r="E151" s="34"/>
    </row>
    <row r="152" spans="2:5" s="12" customFormat="1" ht="35.25" customHeight="1" x14ac:dyDescent="0.2">
      <c r="B152" s="225"/>
      <c r="C152" s="156"/>
      <c r="D152" s="228"/>
      <c r="E152" s="34"/>
    </row>
    <row r="153" spans="2:5" s="12" customFormat="1" ht="35.25" customHeight="1" x14ac:dyDescent="0.2">
      <c r="B153" s="225"/>
      <c r="C153" s="156"/>
      <c r="D153" s="228"/>
      <c r="E153" s="34"/>
    </row>
    <row r="154" spans="2:5" s="12" customFormat="1" ht="35.25" customHeight="1" x14ac:dyDescent="0.2">
      <c r="B154" s="225"/>
      <c r="C154" s="157"/>
      <c r="D154" s="228"/>
      <c r="E154" s="34"/>
    </row>
    <row r="155" spans="2:5" ht="15" x14ac:dyDescent="0.25">
      <c r="B155" s="286" t="s">
        <v>75</v>
      </c>
      <c r="C155" s="287"/>
      <c r="D155" s="288"/>
      <c r="E155" s="14"/>
    </row>
    <row r="156" spans="2:5" s="12" customFormat="1" ht="35.25" customHeight="1" x14ac:dyDescent="0.2">
      <c r="B156" s="225"/>
      <c r="C156" s="156"/>
      <c r="D156" s="228"/>
      <c r="E156" s="34"/>
    </row>
    <row r="157" spans="2:5" s="12" customFormat="1" ht="35.25" customHeight="1" x14ac:dyDescent="0.2">
      <c r="B157" s="225"/>
      <c r="C157" s="156"/>
      <c r="D157" s="228"/>
      <c r="E157" s="34"/>
    </row>
    <row r="158" spans="2:5" s="12" customFormat="1" ht="35.25" customHeight="1" x14ac:dyDescent="0.2">
      <c r="B158" s="225"/>
      <c r="C158" s="156"/>
      <c r="D158" s="228"/>
      <c r="E158" s="34"/>
    </row>
    <row r="159" spans="2:5" s="12" customFormat="1" ht="35.25" customHeight="1" x14ac:dyDescent="0.2">
      <c r="B159" s="225"/>
      <c r="C159" s="156"/>
      <c r="D159" s="228"/>
      <c r="E159" s="34"/>
    </row>
    <row r="160" spans="2:5" s="12" customFormat="1" ht="35.25" customHeight="1" x14ac:dyDescent="0.2">
      <c r="B160" s="225"/>
      <c r="C160" s="156"/>
      <c r="D160" s="228"/>
      <c r="E160" s="34"/>
    </row>
    <row r="161" spans="2:5" s="12" customFormat="1" ht="35.25" customHeight="1" x14ac:dyDescent="0.2">
      <c r="B161" s="225"/>
      <c r="C161" s="156"/>
      <c r="D161" s="228"/>
      <c r="E161" s="34"/>
    </row>
    <row r="162" spans="2:5" s="12" customFormat="1" ht="35.25" customHeight="1" x14ac:dyDescent="0.2">
      <c r="B162" s="225"/>
      <c r="C162" s="156"/>
      <c r="D162" s="228"/>
      <c r="E162" s="34"/>
    </row>
    <row r="163" spans="2:5" s="12" customFormat="1" ht="35.25" customHeight="1" x14ac:dyDescent="0.2">
      <c r="B163" s="225"/>
      <c r="C163" s="156"/>
      <c r="D163" s="228"/>
      <c r="E163" s="34"/>
    </row>
    <row r="164" spans="2:5" s="12" customFormat="1" ht="35.25" customHeight="1" x14ac:dyDescent="0.2">
      <c r="B164" s="225"/>
      <c r="C164" s="156"/>
      <c r="D164" s="228"/>
      <c r="E164" s="34"/>
    </row>
    <row r="165" spans="2:5" s="12" customFormat="1" ht="35.25" customHeight="1" x14ac:dyDescent="0.2">
      <c r="B165" s="225"/>
      <c r="C165" s="157"/>
      <c r="D165" s="228"/>
      <c r="E165" s="34"/>
    </row>
    <row r="166" spans="2:5" ht="15" x14ac:dyDescent="0.25">
      <c r="B166" s="286" t="s">
        <v>76</v>
      </c>
      <c r="C166" s="287"/>
      <c r="D166" s="288"/>
      <c r="E166" s="14"/>
    </row>
    <row r="167" spans="2:5" s="12" customFormat="1" ht="35.25" customHeight="1" x14ac:dyDescent="0.2">
      <c r="B167" s="225"/>
      <c r="C167" s="156"/>
      <c r="D167" s="228"/>
      <c r="E167" s="34"/>
    </row>
    <row r="168" spans="2:5" s="12" customFormat="1" ht="35.25" customHeight="1" x14ac:dyDescent="0.2">
      <c r="B168" s="225"/>
      <c r="C168" s="156"/>
      <c r="D168" s="228"/>
      <c r="E168" s="34"/>
    </row>
    <row r="169" spans="2:5" s="12" customFormat="1" ht="35.25" customHeight="1" x14ac:dyDescent="0.2">
      <c r="B169" s="225"/>
      <c r="C169" s="156"/>
      <c r="D169" s="228"/>
      <c r="E169" s="34"/>
    </row>
    <row r="170" spans="2:5" s="12" customFormat="1" ht="35.25" customHeight="1" x14ac:dyDescent="0.2">
      <c r="B170" s="225"/>
      <c r="C170" s="156"/>
      <c r="D170" s="228"/>
      <c r="E170" s="34"/>
    </row>
    <row r="171" spans="2:5" s="12" customFormat="1" ht="35.25" customHeight="1" x14ac:dyDescent="0.2">
      <c r="B171" s="225"/>
      <c r="C171" s="156"/>
      <c r="D171" s="228"/>
      <c r="E171" s="34"/>
    </row>
    <row r="172" spans="2:5" s="12" customFormat="1" ht="35.25" customHeight="1" x14ac:dyDescent="0.2">
      <c r="B172" s="225"/>
      <c r="C172" s="156"/>
      <c r="D172" s="228"/>
      <c r="E172" s="34"/>
    </row>
    <row r="173" spans="2:5" s="12" customFormat="1" ht="35.25" customHeight="1" x14ac:dyDescent="0.2">
      <c r="B173" s="225"/>
      <c r="C173" s="156"/>
      <c r="D173" s="228"/>
      <c r="E173" s="34"/>
    </row>
    <row r="174" spans="2:5" s="12" customFormat="1" ht="35.25" customHeight="1" x14ac:dyDescent="0.2">
      <c r="B174" s="225"/>
      <c r="C174" s="156"/>
      <c r="D174" s="228"/>
      <c r="E174" s="34"/>
    </row>
    <row r="175" spans="2:5" s="12" customFormat="1" ht="35.25" customHeight="1" x14ac:dyDescent="0.2">
      <c r="B175" s="225"/>
      <c r="C175" s="156"/>
      <c r="D175" s="228"/>
      <c r="E175" s="34"/>
    </row>
    <row r="176" spans="2:5" s="12" customFormat="1" ht="35.25" customHeight="1" x14ac:dyDescent="0.2">
      <c r="B176" s="225"/>
      <c r="C176" s="157"/>
      <c r="D176" s="228"/>
      <c r="E176" s="34"/>
    </row>
    <row r="177" spans="2:5" ht="15" x14ac:dyDescent="0.25">
      <c r="B177" s="286" t="s">
        <v>78</v>
      </c>
      <c r="C177" s="287"/>
      <c r="D177" s="288"/>
      <c r="E177" s="8"/>
    </row>
    <row r="178" spans="2:5" s="12" customFormat="1" ht="35.25" customHeight="1" x14ac:dyDescent="0.2">
      <c r="B178" s="225"/>
      <c r="C178" s="156"/>
      <c r="D178" s="228"/>
      <c r="E178" s="34"/>
    </row>
    <row r="179" spans="2:5" s="12" customFormat="1" ht="35.25" customHeight="1" x14ac:dyDescent="0.2">
      <c r="B179" s="225"/>
      <c r="C179" s="156"/>
      <c r="D179" s="228"/>
      <c r="E179" s="34"/>
    </row>
    <row r="180" spans="2:5" s="12" customFormat="1" ht="35.25" customHeight="1" x14ac:dyDescent="0.2">
      <c r="B180" s="225"/>
      <c r="C180" s="156"/>
      <c r="D180" s="228"/>
      <c r="E180" s="34"/>
    </row>
    <row r="181" spans="2:5" s="12" customFormat="1" ht="35.25" customHeight="1" x14ac:dyDescent="0.2">
      <c r="B181" s="225"/>
      <c r="C181" s="156"/>
      <c r="D181" s="228"/>
      <c r="E181" s="34"/>
    </row>
    <row r="182" spans="2:5" s="12" customFormat="1" ht="35.25" customHeight="1" x14ac:dyDescent="0.2">
      <c r="B182" s="225"/>
      <c r="C182" s="156"/>
      <c r="D182" s="228"/>
      <c r="E182" s="34"/>
    </row>
    <row r="183" spans="2:5" s="12" customFormat="1" ht="35.25" customHeight="1" x14ac:dyDescent="0.2">
      <c r="B183" s="225"/>
      <c r="C183" s="156"/>
      <c r="D183" s="228"/>
      <c r="E183" s="34"/>
    </row>
    <row r="184" spans="2:5" s="12" customFormat="1" ht="35.25" customHeight="1" x14ac:dyDescent="0.2">
      <c r="B184" s="225"/>
      <c r="C184" s="156"/>
      <c r="D184" s="228"/>
      <c r="E184" s="34"/>
    </row>
    <row r="185" spans="2:5" s="12" customFormat="1" ht="35.25" customHeight="1" x14ac:dyDescent="0.2">
      <c r="B185" s="225"/>
      <c r="C185" s="156"/>
      <c r="D185" s="228"/>
      <c r="E185" s="34"/>
    </row>
    <row r="186" spans="2:5" s="12" customFormat="1" ht="35.25" customHeight="1" x14ac:dyDescent="0.2">
      <c r="B186" s="225"/>
      <c r="C186" s="156"/>
      <c r="D186" s="228"/>
      <c r="E186" s="34"/>
    </row>
    <row r="187" spans="2:5" s="12" customFormat="1" ht="35.25" customHeight="1" x14ac:dyDescent="0.2">
      <c r="B187" s="225"/>
      <c r="C187" s="157"/>
      <c r="D187" s="228"/>
    </row>
    <row r="188" spans="2:5" ht="15" x14ac:dyDescent="0.25">
      <c r="B188" s="286" t="s">
        <v>79</v>
      </c>
      <c r="C188" s="287"/>
      <c r="D188" s="288"/>
      <c r="E188" s="8"/>
    </row>
    <row r="189" spans="2:5" s="12" customFormat="1" ht="35.25" customHeight="1" x14ac:dyDescent="0.2">
      <c r="B189" s="225"/>
      <c r="C189" s="156"/>
      <c r="D189" s="228"/>
      <c r="E189" s="34"/>
    </row>
    <row r="190" spans="2:5" s="12" customFormat="1" ht="35.25" customHeight="1" x14ac:dyDescent="0.2">
      <c r="B190" s="225"/>
      <c r="C190" s="156"/>
      <c r="D190" s="228"/>
      <c r="E190" s="34"/>
    </row>
    <row r="191" spans="2:5" s="12" customFormat="1" ht="35.25" customHeight="1" x14ac:dyDescent="0.2">
      <c r="B191" s="225"/>
      <c r="C191" s="156"/>
      <c r="D191" s="228"/>
      <c r="E191" s="34"/>
    </row>
    <row r="192" spans="2:5" s="12" customFormat="1" ht="35.25" customHeight="1" x14ac:dyDescent="0.2">
      <c r="B192" s="225"/>
      <c r="C192" s="156"/>
      <c r="D192" s="228"/>
      <c r="E192" s="34"/>
    </row>
    <row r="193" spans="2:5" s="12" customFormat="1" ht="35.25" customHeight="1" x14ac:dyDescent="0.2">
      <c r="B193" s="225"/>
      <c r="C193" s="156"/>
      <c r="D193" s="228"/>
      <c r="E193" s="34"/>
    </row>
    <row r="194" spans="2:5" s="12" customFormat="1" ht="35.25" customHeight="1" x14ac:dyDescent="0.2">
      <c r="B194" s="225"/>
      <c r="C194" s="156"/>
      <c r="D194" s="228"/>
      <c r="E194" s="34"/>
    </row>
    <row r="195" spans="2:5" s="12" customFormat="1" ht="35.25" customHeight="1" x14ac:dyDescent="0.2">
      <c r="B195" s="225"/>
      <c r="C195" s="156"/>
      <c r="D195" s="228"/>
      <c r="E195" s="34"/>
    </row>
    <row r="196" spans="2:5" s="12" customFormat="1" ht="35.25" customHeight="1" x14ac:dyDescent="0.2">
      <c r="B196" s="225"/>
      <c r="C196" s="156"/>
      <c r="D196" s="228"/>
      <c r="E196" s="34"/>
    </row>
    <row r="197" spans="2:5" s="12" customFormat="1" ht="35.25" customHeight="1" x14ac:dyDescent="0.2">
      <c r="B197" s="225"/>
      <c r="C197" s="156"/>
      <c r="D197" s="228"/>
      <c r="E197" s="34"/>
    </row>
    <row r="198" spans="2:5" s="12" customFormat="1" ht="35.25" customHeight="1" x14ac:dyDescent="0.2">
      <c r="B198" s="225"/>
      <c r="C198" s="157"/>
      <c r="D198" s="228"/>
    </row>
    <row r="199" spans="2:5" ht="15" x14ac:dyDescent="0.25">
      <c r="B199" s="286" t="s">
        <v>81</v>
      </c>
      <c r="C199" s="287"/>
      <c r="D199" s="288"/>
      <c r="E199" s="8"/>
    </row>
    <row r="200" spans="2:5" s="12" customFormat="1" ht="35.25" customHeight="1" x14ac:dyDescent="0.2">
      <c r="B200" s="225"/>
      <c r="C200" s="156"/>
      <c r="D200" s="228"/>
      <c r="E200" s="34"/>
    </row>
    <row r="201" spans="2:5" s="12" customFormat="1" ht="35.25" customHeight="1" x14ac:dyDescent="0.2">
      <c r="B201" s="225"/>
      <c r="C201" s="156"/>
      <c r="D201" s="228"/>
      <c r="E201" s="34"/>
    </row>
    <row r="202" spans="2:5" s="12" customFormat="1" ht="35.25" customHeight="1" x14ac:dyDescent="0.2">
      <c r="B202" s="225"/>
      <c r="C202" s="156"/>
      <c r="D202" s="228"/>
      <c r="E202" s="34"/>
    </row>
    <row r="203" spans="2:5" s="12" customFormat="1" ht="35.25" customHeight="1" x14ac:dyDescent="0.2">
      <c r="B203" s="225"/>
      <c r="C203" s="156"/>
      <c r="D203" s="228"/>
      <c r="E203" s="34"/>
    </row>
    <row r="204" spans="2:5" s="12" customFormat="1" ht="35.25" customHeight="1" x14ac:dyDescent="0.2">
      <c r="B204" s="225"/>
      <c r="C204" s="156"/>
      <c r="D204" s="228"/>
      <c r="E204" s="34"/>
    </row>
    <row r="205" spans="2:5" s="12" customFormat="1" ht="35.25" customHeight="1" x14ac:dyDescent="0.2">
      <c r="B205" s="225"/>
      <c r="C205" s="156"/>
      <c r="D205" s="228"/>
      <c r="E205" s="34"/>
    </row>
    <row r="206" spans="2:5" s="12" customFormat="1" ht="35.25" customHeight="1" x14ac:dyDescent="0.2">
      <c r="B206" s="225"/>
      <c r="C206" s="156"/>
      <c r="D206" s="228"/>
      <c r="E206" s="34"/>
    </row>
    <row r="207" spans="2:5" s="12" customFormat="1" ht="35.25" customHeight="1" x14ac:dyDescent="0.2">
      <c r="B207" s="225"/>
      <c r="C207" s="156"/>
      <c r="D207" s="228"/>
      <c r="E207" s="34"/>
    </row>
    <row r="208" spans="2:5" s="12" customFormat="1" ht="35.25" customHeight="1" x14ac:dyDescent="0.2">
      <c r="B208" s="225"/>
      <c r="C208" s="156"/>
      <c r="D208" s="228"/>
      <c r="E208" s="34"/>
    </row>
    <row r="209" spans="1:4" s="12" customFormat="1" ht="35.25" customHeight="1" x14ac:dyDescent="0.2">
      <c r="B209" s="233"/>
      <c r="C209" s="234"/>
      <c r="D209" s="235"/>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3" t="s">
        <v>130</v>
      </c>
      <c r="B3" s="244" t="s">
        <v>131</v>
      </c>
      <c r="C3" s="91"/>
      <c r="D3" s="88" t="s">
        <v>132</v>
      </c>
      <c r="E3" s="91"/>
      <c r="F3" s="93">
        <v>2011</v>
      </c>
      <c r="G3" s="91"/>
      <c r="H3" s="94" t="s">
        <v>133</v>
      </c>
    </row>
    <row r="4" spans="1:8" x14ac:dyDescent="0.2">
      <c r="A4" s="241">
        <v>0</v>
      </c>
      <c r="B4" s="242">
        <v>0</v>
      </c>
      <c r="C4" s="91"/>
      <c r="D4" s="95" t="s">
        <v>134</v>
      </c>
      <c r="E4" s="91"/>
      <c r="F4" s="96">
        <v>2012</v>
      </c>
      <c r="G4" s="91"/>
      <c r="H4" s="97" t="s">
        <v>135</v>
      </c>
    </row>
    <row r="5" spans="1:8" x14ac:dyDescent="0.2">
      <c r="A5" s="241">
        <v>1000</v>
      </c>
      <c r="B5" s="242">
        <v>8.3000000000000004E-2</v>
      </c>
      <c r="C5" s="91"/>
      <c r="D5" s="95" t="s">
        <v>136</v>
      </c>
      <c r="E5" s="91"/>
      <c r="F5" s="96">
        <v>2013</v>
      </c>
      <c r="G5" s="91"/>
      <c r="H5" s="91"/>
    </row>
    <row r="6" spans="1:8" x14ac:dyDescent="0.2">
      <c r="A6" s="241">
        <v>2500</v>
      </c>
      <c r="B6" s="242">
        <v>5.1999999999999998E-2</v>
      </c>
      <c r="C6" s="91"/>
      <c r="D6" s="95" t="s">
        <v>137</v>
      </c>
      <c r="E6" s="91"/>
      <c r="F6" s="96">
        <v>2014</v>
      </c>
      <c r="G6" s="91"/>
      <c r="H6" s="91"/>
    </row>
    <row r="7" spans="1:8" x14ac:dyDescent="0.2">
      <c r="A7" s="241">
        <v>5000</v>
      </c>
      <c r="B7" s="242">
        <v>3.6999999999999998E-2</v>
      </c>
      <c r="C7" s="91"/>
      <c r="D7" s="95" t="s">
        <v>138</v>
      </c>
      <c r="E7" s="91"/>
      <c r="F7" s="96">
        <v>2015</v>
      </c>
      <c r="G7" s="91"/>
      <c r="H7" s="91"/>
    </row>
    <row r="8" spans="1:8" x14ac:dyDescent="0.2">
      <c r="A8" s="241">
        <v>10000</v>
      </c>
      <c r="B8" s="242">
        <v>2.5999999999999999E-2</v>
      </c>
      <c r="C8" s="91"/>
      <c r="D8" s="95" t="s">
        <v>139</v>
      </c>
      <c r="E8" s="91"/>
      <c r="F8" s="96">
        <v>2016</v>
      </c>
      <c r="G8" s="91"/>
      <c r="H8" s="91"/>
    </row>
    <row r="9" spans="1:8" x14ac:dyDescent="0.2">
      <c r="A9" s="241">
        <v>25000</v>
      </c>
      <c r="B9" s="242">
        <v>1.6E-2</v>
      </c>
      <c r="C9" s="91"/>
      <c r="D9" s="95" t="s">
        <v>140</v>
      </c>
      <c r="E9" s="91"/>
      <c r="F9" s="96">
        <v>2017</v>
      </c>
      <c r="G9" s="91"/>
      <c r="H9" s="91"/>
    </row>
    <row r="10" spans="1:8" x14ac:dyDescent="0.2">
      <c r="A10" s="241">
        <v>50000</v>
      </c>
      <c r="B10" s="242">
        <v>1.2E-2</v>
      </c>
      <c r="C10" s="91"/>
      <c r="D10" s="95" t="s">
        <v>141</v>
      </c>
      <c r="E10" s="91"/>
      <c r="F10" s="96">
        <v>2018</v>
      </c>
      <c r="G10" s="91"/>
      <c r="H10" s="91"/>
    </row>
    <row r="11" spans="1:8" x14ac:dyDescent="0.2">
      <c r="A11" s="245">
        <v>75000</v>
      </c>
      <c r="B11" s="246">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3" t="s">
        <v>147</v>
      </c>
      <c r="B16" s="244" t="s">
        <v>148</v>
      </c>
      <c r="C16" s="91"/>
      <c r="D16" s="95" t="s">
        <v>150</v>
      </c>
      <c r="E16" s="91"/>
      <c r="F16" s="96">
        <v>2024</v>
      </c>
      <c r="G16" s="91"/>
      <c r="H16" s="91"/>
    </row>
    <row r="17" spans="1:8" x14ac:dyDescent="0.2">
      <c r="A17" s="247">
        <v>0</v>
      </c>
      <c r="B17" s="249">
        <v>1</v>
      </c>
      <c r="C17" s="91"/>
      <c r="D17" s="95" t="s">
        <v>151</v>
      </c>
      <c r="E17" s="91"/>
      <c r="F17" s="96">
        <v>2025</v>
      </c>
      <c r="G17" s="91"/>
      <c r="H17" s="91"/>
    </row>
    <row r="18" spans="1:8" x14ac:dyDescent="0.2">
      <c r="A18" s="248">
        <v>2500</v>
      </c>
      <c r="B18" s="250">
        <v>1.1639999999999999</v>
      </c>
      <c r="C18" s="91"/>
      <c r="D18" s="95" t="s">
        <v>152</v>
      </c>
      <c r="E18" s="91"/>
      <c r="F18" s="96">
        <v>2026</v>
      </c>
      <c r="G18" s="91"/>
      <c r="H18" s="91"/>
    </row>
    <row r="19" spans="1:8" x14ac:dyDescent="0.2">
      <c r="A19" s="248">
        <v>5000</v>
      </c>
      <c r="B19" s="250">
        <v>1.4019999999999999</v>
      </c>
      <c r="C19" s="91"/>
      <c r="D19" s="95" t="s">
        <v>153</v>
      </c>
      <c r="E19" s="91"/>
      <c r="F19" s="96">
        <v>2027</v>
      </c>
      <c r="G19" s="91"/>
      <c r="H19" s="91"/>
    </row>
    <row r="20" spans="1:8" x14ac:dyDescent="0.2">
      <c r="A20" s="251">
        <v>10000</v>
      </c>
      <c r="B20" s="252">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2014-12-18T11:24:00Z</cp:lastPrinted>
  <dcterms:created xsi:type="dcterms:W3CDTF">2012-03-15T16:14:51Z</dcterms:created>
  <dcterms:modified xsi:type="dcterms:W3CDTF">2015-09-14T19:33:30Z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