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Data'!$B$1:$AW$62</definedName>
    <definedName name="_xlnm.Print_Area" localSheetId="2">'Pt 2 Premium and Claims'!$B$3:$C$58</definedName>
    <definedName name="_xlnm.Print_Area" localSheetId="3">'Pt 3 MLR and Rebate Calculation'!$A$3:$B$1048576</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P17" i="10" l="1"/>
  <c r="P16" i="10"/>
  <c r="P15" i="10"/>
  <c r="P12" i="10"/>
  <c r="P7" i="10"/>
  <c r="P6" i="10"/>
  <c r="O17" i="10"/>
  <c r="O16" i="10"/>
  <c r="O15" i="10"/>
  <c r="O12" i="10"/>
  <c r="O7" i="10"/>
  <c r="O6" i="10"/>
  <c r="N17" i="10"/>
  <c r="N16" i="10"/>
  <c r="N15" i="10"/>
  <c r="M17" i="10"/>
  <c r="M16" i="10"/>
  <c r="M15" i="10"/>
  <c r="N12" i="10"/>
  <c r="M12" i="10"/>
  <c r="N7" i="10"/>
  <c r="N6" i="10"/>
  <c r="N5" i="10"/>
  <c r="M7" i="10"/>
  <c r="M6" i="10"/>
  <c r="M5" i="10"/>
  <c r="K17" i="10"/>
  <c r="K16" i="10"/>
  <c r="K15" i="10"/>
  <c r="K12" i="10"/>
  <c r="K10" i="10"/>
  <c r="K7" i="10"/>
  <c r="K6" i="10"/>
  <c r="J17" i="10"/>
  <c r="J16" i="10"/>
  <c r="J15" i="10"/>
  <c r="J12" i="10"/>
  <c r="J10" i="10"/>
  <c r="J7" i="10"/>
  <c r="J6" i="10"/>
  <c r="I17" i="10"/>
  <c r="I16" i="10"/>
  <c r="I15" i="10"/>
  <c r="I12" i="10"/>
  <c r="I7" i="10"/>
  <c r="I6" i="10"/>
  <c r="I5" i="10"/>
  <c r="H17" i="10"/>
  <c r="H16" i="10"/>
  <c r="H15" i="10"/>
  <c r="H12" i="10"/>
  <c r="H7" i="10"/>
  <c r="H5" i="10"/>
  <c r="H6" i="10"/>
  <c r="D17" i="10" l="1"/>
  <c r="D12" i="10"/>
  <c r="Q54" i="18" l="1"/>
  <c r="Q46" i="18"/>
  <c r="Q45" i="18"/>
  <c r="Q27" i="18"/>
  <c r="Q24" i="18"/>
  <c r="Q7" i="18"/>
  <c r="Q6" i="18"/>
  <c r="Q5" i="18"/>
  <c r="O54" i="18"/>
  <c r="K54" i="18"/>
  <c r="K27" i="18"/>
  <c r="K24" i="18"/>
  <c r="K16" i="18"/>
  <c r="K7" i="18"/>
  <c r="K6" i="18"/>
  <c r="K5" i="18"/>
  <c r="I54" i="18"/>
  <c r="E54" i="18"/>
  <c r="AV54" i="4"/>
  <c r="AS12" i="4"/>
  <c r="Q14" i="4"/>
  <c r="Q13" i="4"/>
  <c r="Q12" i="4"/>
  <c r="P12" i="4"/>
  <c r="K41" i="4"/>
  <c r="K40" i="4"/>
  <c r="K39" i="4"/>
  <c r="K38" i="4"/>
  <c r="K37" i="4"/>
  <c r="K35" i="4"/>
  <c r="K34" i="4"/>
  <c r="K30" i="4"/>
  <c r="K27" i="4"/>
  <c r="K26" i="4"/>
  <c r="K14" i="4"/>
  <c r="K13" i="4"/>
  <c r="K12" i="4"/>
  <c r="K5" i="4"/>
  <c r="J30" i="4" l="1"/>
  <c r="P30" i="4"/>
  <c r="P34" i="4"/>
  <c r="J34" i="4"/>
  <c r="AS27" i="4"/>
  <c r="P27" i="4"/>
  <c r="J27" i="4"/>
  <c r="AV60" i="4" l="1"/>
  <c r="AS60" i="4"/>
  <c r="AT60" i="4"/>
  <c r="J60" i="4"/>
  <c r="Q60" i="4"/>
  <c r="D60" i="4"/>
</calcChain>
</file>

<file path=xl/sharedStrings.xml><?xml version="1.0" encoding="utf-8"?>
<sst xmlns="http://schemas.openxmlformats.org/spreadsheetml/2006/main" count="578" uniqueCount="508">
  <si>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</si>
  <si>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</si>
  <si>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</si>
  <si>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</si>
  <si>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</si>
  <si>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</si>
  <si>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</si>
  <si>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</si>
  <si>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</si>
  <si>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</si>
  <si>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</si>
  <si>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</si>
  <si>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</si>
  <si>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</si>
  <si>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</si>
  <si>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</si>
  <si>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</si>
  <si>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</si>
  <si>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</si>
  <si>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</si>
  <si>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</si>
  <si>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</si>
  <si>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</si>
  <si>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</si>
  <si>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</si>
  <si>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</si>
  <si>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</si>
  <si>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</si>
  <si>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</si>
  <si>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</si>
  <si>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</si>
  <si>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</si>
  <si>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</si>
  <si>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</si>
  <si>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</si>
  <si>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</si>
  <si>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</si>
  <si>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</si>
  <si>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</si>
  <si>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</si>
  <si>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</si>
  <si>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</si>
  <si>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</si>
  <si>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</si>
  <si>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</si>
  <si>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</si>
  <si>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</si>
  <si>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</si>
  <si>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</si>
  <si>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</si>
  <si>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</si>
  <si>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</si>
  <si>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</si>
  <si>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</si>
  <si>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</si>
  <si>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</si>
  <si>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</si>
  <si>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</si>
  <si>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</si>
  <si>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</si>
  <si>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</si>
  <si>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</si>
  <si>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</si>
  <si>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</si>
  <si>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</si>
  <si>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</si>
  <si>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</si>
  <si>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</si>
  <si>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</si>
  <si>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</si>
  <si>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</si>
  <si>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</si>
  <si>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</si>
  <si>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</si>
  <si>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</si>
  <si>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</si>
  <si>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</si>
  <si>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</si>
  <si>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</si>
  <si>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</si>
  <si>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</si>
  <si>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</si>
  <si>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</si>
  <si>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</si>
  <si>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</si>
  <si>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</si>
  <si>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</si>
  <si>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</si>
  <si>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</si>
  <si>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</si>
  <si>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</si>
  <si>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</si>
  <si>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</si>
  <si>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</si>
  <si>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</si>
  <si>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</si>
  <si>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</si>
  <si>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</si>
  <si>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</si>
  <si>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</si>
  <si>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</si>
  <si>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</si>
  <si>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</si>
  <si>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</si>
  <si>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</si>
  <si>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</si>
  <si>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</si>
  <si>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</si>
  <si>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</si>
  <si>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</si>
  <si>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</si>
  <si>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</si>
  <si>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</si>
  <si>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</si>
  <si>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</si>
  <si>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</si>
  <si>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</si>
  <si>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</si>
  <si>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</si>
  <si>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</si>
  <si>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</si>
  <si>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</si>
  <si>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</si>
  <si>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</si>
  <si>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</si>
  <si>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</si>
  <si>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</si>
  <si>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</si>
  <si>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</si>
  <si>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</si>
  <si>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</si>
  <si>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</si>
  <si>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</si>
  <si>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</si>
  <si>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</si>
  <si>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</si>
  <si>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</si>
  <si>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</si>
  <si>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</si>
  <si>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</si>
  <si>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</si>
  <si>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</si>
  <si>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</si>
  <si>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</si>
  <si>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</si>
  <si>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</si>
  <si>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</si>
  <si>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</si>
  <si>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</si>
  <si>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</si>
  <si>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</si>
  <si>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</si>
  <si>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</si>
  <si>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</si>
  <si>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</si>
  <si>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</si>
  <si>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</si>
  <si>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</si>
  <si>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</si>
  <si>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</si>
  <si>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</si>
  <si>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</si>
  <si>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</si>
  <si>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</si>
  <si>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</si>
  <si>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</si>
  <si>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</si>
  <si>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</si>
  <si>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</si>
  <si>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</si>
  <si>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</si>
  <si>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</si>
  <si>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</si>
  <si>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</si>
  <si>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</si>
  <si>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</si>
  <si>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</si>
  <si>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</si>
  <si>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</si>
  <si>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</si>
  <si>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</si>
  <si>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</si>
  <si>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</si>
  <si>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</si>
  <si>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</si>
  <si>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</si>
  <si>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</si>
  <si>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</si>
  <si>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</si>
  <si>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</si>
  <si>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</si>
  <si>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</si>
  <si>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</si>
  <si>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</si>
  <si>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</si>
  <si>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</si>
  <si>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</si>
  <si>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</si>
  <si>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</si>
  <si>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</si>
  <si>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</si>
  <si>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</si>
  <si>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</si>
  <si>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</si>
  <si>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</si>
  <si>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</si>
  <si>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</si>
  <si>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</si>
  <si>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</si>
  <si>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</si>
  <si>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</si>
  <si>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</si>
  <si>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</si>
  <si>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</si>
  <si>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</si>
  <si>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</si>
  <si>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</si>
  <si>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</si>
  <si>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</si>
  <si>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</si>
  <si>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</si>
  <si>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</si>
  <si>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</si>
  <si>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</si>
  <si>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</si>
  <si>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</si>
  <si>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</si>
  <si>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</si>
  <si>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</si>
  <si>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</si>
  <si>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</si>
  <si>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</si>
  <si>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</si>
  <si>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</si>
  <si>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</si>
  <si>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</si>
  <si>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</si>
  <si>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</si>
  <si>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</si>
  <si>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</si>
  <si>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</si>
  <si>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</si>
  <si>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</si>
  <si>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</si>
  <si>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</si>
  <si>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</si>
  <si>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</si>
  <si>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</si>
  <si>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</si>
  <si>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</si>
  <si>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</si>
  <si>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</si>
  <si>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</si>
  <si>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</si>
  <si>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</si>
  <si>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</si>
  <si>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</si>
  <si>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</si>
  <si>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</si>
  <si>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</si>
  <si>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</si>
  <si>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</si>
  <si>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</si>
  <si>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</si>
  <si>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</si>
  <si>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</si>
  <si>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</si>
  <si>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</si>
  <si>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</si>
  <si>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</si>
  <si>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</si>
  <si>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</si>
  <si>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</si>
  <si>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</si>
  <si>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</si>
  <si>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</si>
  <si>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</si>
  <si>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</si>
  <si>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</si>
  <si>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</si>
  <si>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</si>
  <si>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</si>
  <si>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</si>
  <si>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</si>
  <si>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</si>
  <si>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</si>
  <si>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</si>
  <si>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</si>
  <si>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</si>
  <si>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</si>
  <si>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</si>
  <si>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</si>
  <si>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</si>
  <si>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</si>
  <si>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</si>
  <si>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</si>
  <si>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</si>
  <si>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</si>
  <si>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</si>
  <si>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</si>
  <si>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</si>
  <si>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</si>
  <si>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</si>
  <si>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</si>
  <si>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</si>
  <si>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</si>
  <si>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</si>
  <si>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</si>
  <si>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</si>
  <si>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</si>
  <si>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</si>
  <si>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</si>
  <si>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</si>
  <si>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</si>
  <si>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</si>
  <si>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</si>
  <si>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</si>
  <si>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</si>
  <si>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</si>
  <si>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</si>
  <si>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</si>
  <si>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</si>
  <si>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</si>
  <si>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</si>
  <si>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</si>
  <si>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</si>
  <si>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</si>
  <si>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</si>
  <si>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</si>
  <si>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</si>
  <si>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</si>
  <si>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</si>
  <si>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</si>
  <si>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</si>
  <si>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</si>
  <si>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</si>
  <si>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</si>
  <si>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</si>
  <si>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</si>
  <si>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</si>
  <si>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</si>
  <si>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</si>
  <si>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</si>
  <si>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</si>
  <si>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</si>
  <si>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</si>
  <si>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</si>
  <si>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</si>
  <si>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</si>
  <si>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</si>
  <si>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</si>
  <si>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</si>
  <si>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</si>
  <si>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</si>
  <si>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</si>
  <si>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</si>
  <si>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</si>
  <si>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</si>
  <si>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</si>
  <si>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</si>
  <si>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</si>
  <si>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</si>
  <si>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</si>
  <si>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</si>
  <si>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</si>
  <si>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</si>
  <si>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</si>
  <si>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</si>
  <si>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</si>
  <si>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</si>
  <si>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</si>
  <si>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</si>
  <si>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</si>
  <si>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</si>
  <si>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</si>
  <si>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</si>
  <si>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</si>
  <si>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</si>
  <si>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</si>
  <si>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</si>
  <si>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</si>
  <si>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</si>
  <si>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</si>
  <si>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</si>
  <si>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</si>
  <si>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</si>
  <si>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</si>
  <si>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</si>
  <si>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</si>
  <si>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</si>
  <si>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</si>
  <si>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</si>
  <si>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</si>
  <si>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</si>
  <si>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</si>
  <si>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</si>
  <si>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</si>
  <si>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</si>
  <si>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</si>
  <si>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</si>
  <si>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</si>
  <si>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</si>
  <si>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</si>
  <si>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</si>
  <si>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</si>
  <si>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</si>
  <si>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</si>
  <si>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</si>
  <si>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</si>
  <si>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</si>
  <si>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</si>
  <si>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</si>
  <si>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</si>
  <si>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</si>
  <si>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</si>
  <si>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</si>
  <si>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</si>
  <si>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</si>
  <si>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</si>
  <si>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</si>
  <si>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</si>
  <si>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</si>
  <si>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</si>
  <si>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</si>
  <si>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</si>
  <si>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</si>
  <si>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</si>
  <si>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</si>
  <si>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</si>
  <si>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</si>
  <si>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</si>
  <si>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</si>
  <si>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</si>
  <si>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</si>
  <si>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</si>
  <si>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</si>
  <si>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</si>
  <si>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</si>
  <si>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</si>
  <si>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</si>
  <si>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</si>
  <si>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</si>
  <si>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</si>
  <si>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</si>
  <si>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</si>
  <si>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</si>
  <si>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</si>
  <si>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</si>
  <si>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</si>
  <si>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</si>
  <si>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</si>
  <si>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</si>
  <si>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</si>
  <si>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</si>
  <si>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</si>
  <si>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</si>
  <si>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</si>
  <si>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</si>
  <si>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</si>
  <si>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</si>
  <si>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</si>
  <si>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</si>
  <si>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</si>
  <si>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</si>
  <si>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</si>
  <si>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</si>
  <si>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</si>
  <si>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</si>
  <si>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</si>
  <si>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</si>
  <si>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</si>
  <si>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</si>
  <si>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</si>
  <si>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</si>
  <si>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</si>
  <si>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</si>
  <si>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</si>
  <si>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</si>
  <si>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</si>
  <si>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</si>
  <si>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</si>
  <si>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</si>
  <si>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</si>
  <si>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</si>
  <si>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</si>
  <si>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</si>
  <si>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</si>
  <si>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</si>
  <si>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</si>
  <si>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</si>
  <si>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</si>
  <si>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</si>
  <si>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</si>
  <si>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</si>
  <si>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Providence Health Plan</t>
  </si>
  <si>
    <t>2014</t>
  </si>
  <si>
    <t>PO Box 4327 Portland , OR 97208</t>
  </si>
  <si>
    <t>930863097</t>
  </si>
  <si>
    <t>95005</t>
  </si>
  <si>
    <t>323</t>
  </si>
  <si>
    <t>Claims paid comes from our data base of all claims payments by LOB by state</t>
  </si>
  <si>
    <t>the liability comes from an IBNR estimate we calculate at the 3 month mark after the end of the year on prior year claims.</t>
  </si>
  <si>
    <t>These are the actual taxes and we allocate them to the different LOB using the criteria that was used for determining how much our tax or assessment was going to be</t>
  </si>
  <si>
    <t>We have discussions with the manager over the areas for which we consider to be the key area in these quality improvement and we determine the appropriate allocation to the different LOB based on these conversations.</t>
  </si>
  <si>
    <t>These are determined with all managers  and we arrive at amounts that relate to the areas (LOB) that are benefiting from them.</t>
  </si>
  <si>
    <t>We determine when talking with the managers which cost are considered to be relating to claims adjustment and which are general administrative expenses.</t>
  </si>
  <si>
    <t>Again these are determined by the conversations with the department managers.</t>
  </si>
  <si>
    <t>These are actual expenses for this type of expense, but are allocated to the different states based on Premiums written.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</si>
</sst>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0" fontId="0" fillId="0" borderId="0" xfId="0" applyFont="1" applyProtection="1">
      <protection locked="0"/>
    </xf>
    <xf numFmtId="0" fontId="0" fillId="0" borderId="0" xfId="0" applyFont="1" applyFill="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499</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178</v>
      </c>
    </row>
    <row r="14" spans="1:6" x14ac:dyDescent="0.2">
      <c r="B14" s="230" t="s">
        <v>51</v>
      </c>
      <c r="C14" s="376" t="s">
        <v>496</v>
      </c>
    </row>
    <row r="15" spans="1:6" x14ac:dyDescent="0.2">
      <c r="B15" s="230" t="s">
        <v>217</v>
      </c>
      <c r="C15" s="376" t="s">
        <v>133</v>
      </c>
    </row>
    <row r="16" spans="1:6" x14ac:dyDescent="0.2">
      <c r="B16" s="231" t="s">
        <v>219</v>
      </c>
      <c r="C16" s="378" t="s">
        <v>135</v>
      </c>
    </row>
    <row r="17" spans="1:3" x14ac:dyDescent="0.2">
      <c r="B17" s="230" t="s">
        <v>218</v>
      </c>
      <c r="C17" s="376" t="s">
        <v>133</v>
      </c>
    </row>
    <row r="18" spans="1:3" x14ac:dyDescent="0.2">
      <c r="B18" s="232" t="s">
        <v>53</v>
      </c>
      <c r="C18" s="376" t="s">
        <v>495</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topLeftCell="B1" zoomScale="80" zoomScaleNormal="80" workbookViewId="0">
      <pane xSplit="2" ySplit="4" topLeftCell="D5" activePane="bottomRight" state="frozen"/>
      <selection activeCell="B1" sqref="B1"/>
      <selection pane="topRight" activeCell="D1" sqref="D1"/>
      <selection pane="bottomLeft" activeCell="B5" sqref="B5"/>
      <selection pane="bottomRight" activeCell="I6" sqref="I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52162519</v>
      </c>
      <c r="E5" s="106">
        <v>49261392</v>
      </c>
      <c r="F5" s="106"/>
      <c r="G5" s="106"/>
      <c r="H5" s="106"/>
      <c r="I5" s="105">
        <v>43190342</v>
      </c>
      <c r="J5" s="105">
        <v>134540906</v>
      </c>
      <c r="K5" s="106">
        <f>133331135+1209771</f>
        <v>134540906</v>
      </c>
      <c r="L5" s="106"/>
      <c r="M5" s="106"/>
      <c r="N5" s="106"/>
      <c r="O5" s="105">
        <v>17955458</v>
      </c>
      <c r="P5" s="105">
        <v>456554562</v>
      </c>
      <c r="Q5" s="106">
        <v>456554562</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v>471878295</v>
      </c>
      <c r="AT5" s="107">
        <v>1326504</v>
      </c>
      <c r="AU5" s="107"/>
      <c r="AV5" s="108"/>
      <c r="AW5" s="315"/>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5" x14ac:dyDescent="0.2">
      <c r="B8" s="155" t="s">
        <v>225</v>
      </c>
      <c r="C8" s="62" t="s">
        <v>59</v>
      </c>
      <c r="D8" s="109">
        <v>-260880</v>
      </c>
      <c r="E8" s="287"/>
      <c r="F8" s="288"/>
      <c r="G8" s="288"/>
      <c r="H8" s="288"/>
      <c r="I8" s="291"/>
      <c r="J8" s="109">
        <v>-590597</v>
      </c>
      <c r="K8" s="287"/>
      <c r="L8" s="288"/>
      <c r="M8" s="288"/>
      <c r="N8" s="288"/>
      <c r="O8" s="291"/>
      <c r="P8" s="109">
        <v>-2326695</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-641082</v>
      </c>
      <c r="AT8" s="113"/>
      <c r="AU8" s="113"/>
      <c r="AV8" s="309"/>
      <c r="AW8" s="316"/>
    </row>
    <row r="9" spans="1:49" x14ac:dyDescent="0.2">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2">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50344856</v>
      </c>
      <c r="E12" s="106">
        <v>46363481</v>
      </c>
      <c r="F12" s="106"/>
      <c r="G12" s="106"/>
      <c r="H12" s="106"/>
      <c r="I12" s="105">
        <v>40637907</v>
      </c>
      <c r="J12" s="105">
        <v>97749474</v>
      </c>
      <c r="K12" s="106">
        <f>105811604+1368762</f>
        <v>107180366</v>
      </c>
      <c r="L12" s="106"/>
      <c r="M12" s="106"/>
      <c r="N12" s="106"/>
      <c r="O12" s="105">
        <v>12715705</v>
      </c>
      <c r="P12" s="105">
        <f>374317501+31384550</f>
        <v>405702051</v>
      </c>
      <c r="Q12" s="106">
        <f>381412215+28599405</f>
        <v>410011620</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f>408874109+20513244</f>
        <v>429387353</v>
      </c>
      <c r="AT12" s="107">
        <v>1252249</v>
      </c>
      <c r="AU12" s="107"/>
      <c r="AV12" s="310"/>
      <c r="AW12" s="315"/>
    </row>
    <row r="13" spans="1:49" ht="25.5" x14ac:dyDescent="0.2">
      <c r="B13" s="155" t="s">
        <v>230</v>
      </c>
      <c r="C13" s="62" t="s">
        <v>37</v>
      </c>
      <c r="D13" s="109">
        <v>7930809</v>
      </c>
      <c r="E13" s="110">
        <v>7743554</v>
      </c>
      <c r="F13" s="110"/>
      <c r="G13" s="287"/>
      <c r="H13" s="288"/>
      <c r="I13" s="109">
        <v>6787278</v>
      </c>
      <c r="J13" s="109">
        <v>17526312</v>
      </c>
      <c r="K13" s="110">
        <f>15672968+173418</f>
        <v>15846386</v>
      </c>
      <c r="L13" s="110"/>
      <c r="M13" s="287"/>
      <c r="N13" s="288"/>
      <c r="O13" s="109">
        <v>2454672</v>
      </c>
      <c r="P13" s="109">
        <v>53545060</v>
      </c>
      <c r="Q13" s="110">
        <f>45411884+2775792</f>
        <v>48187676</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28924715</v>
      </c>
      <c r="AT13" s="113">
        <v>485635</v>
      </c>
      <c r="AU13" s="113"/>
      <c r="AV13" s="309"/>
      <c r="AW13" s="316"/>
    </row>
    <row r="14" spans="1:49" ht="25.5" x14ac:dyDescent="0.2">
      <c r="B14" s="155" t="s">
        <v>231</v>
      </c>
      <c r="C14" s="62" t="s">
        <v>6</v>
      </c>
      <c r="D14" s="109">
        <v>334171</v>
      </c>
      <c r="E14" s="110">
        <v>334171</v>
      </c>
      <c r="F14" s="110"/>
      <c r="G14" s="286"/>
      <c r="H14" s="289"/>
      <c r="I14" s="109">
        <v>292903</v>
      </c>
      <c r="J14" s="109">
        <v>1002287</v>
      </c>
      <c r="K14" s="110">
        <f>990720+11567</f>
        <v>1002287</v>
      </c>
      <c r="L14" s="110"/>
      <c r="M14" s="286"/>
      <c r="N14" s="289"/>
      <c r="O14" s="109">
        <v>155165</v>
      </c>
      <c r="P14" s="109">
        <v>3205414</v>
      </c>
      <c r="Q14" s="110">
        <f>3031702+173712</f>
        <v>3205414</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3058637</v>
      </c>
      <c r="AT14" s="113">
        <v>707</v>
      </c>
      <c r="AU14" s="113"/>
      <c r="AV14" s="309"/>
      <c r="AW14" s="316"/>
    </row>
    <row r="15" spans="1:49" ht="38.25" x14ac:dyDescent="0.2">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5" x14ac:dyDescent="0.2">
      <c r="B16" s="155" t="s">
        <v>233</v>
      </c>
      <c r="C16" s="62" t="s">
        <v>61</v>
      </c>
      <c r="D16" s="109">
        <v>-260880</v>
      </c>
      <c r="E16" s="287"/>
      <c r="F16" s="288"/>
      <c r="G16" s="289"/>
      <c r="H16" s="289"/>
      <c r="I16" s="291"/>
      <c r="J16" s="109">
        <v>-590597</v>
      </c>
      <c r="K16" s="287"/>
      <c r="L16" s="288"/>
      <c r="M16" s="289"/>
      <c r="N16" s="289"/>
      <c r="O16" s="291"/>
      <c r="P16" s="109">
        <v>-2326695</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-641082</v>
      </c>
      <c r="AT16" s="113"/>
      <c r="AU16" s="113"/>
      <c r="AV16" s="309"/>
      <c r="AW16" s="316"/>
    </row>
    <row r="17" spans="1:49" x14ac:dyDescent="0.2">
      <c r="B17" s="155" t="s">
        <v>234</v>
      </c>
      <c r="C17" s="62" t="s">
        <v>62</v>
      </c>
      <c r="D17" s="109"/>
      <c r="E17" s="286"/>
      <c r="F17" s="289"/>
      <c r="G17" s="289"/>
      <c r="H17" s="289"/>
      <c r="I17" s="290"/>
      <c r="J17" s="109"/>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2">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6"/>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
      <c r="A26" s="35"/>
      <c r="B26" s="158" t="s">
        <v>243</v>
      </c>
      <c r="C26" s="62"/>
      <c r="D26" s="109">
        <v>24142</v>
      </c>
      <c r="E26" s="110">
        <v>24142</v>
      </c>
      <c r="F26" s="110"/>
      <c r="G26" s="110"/>
      <c r="H26" s="110"/>
      <c r="I26" s="109">
        <v>17166</v>
      </c>
      <c r="J26" s="109">
        <v>56199</v>
      </c>
      <c r="K26" s="110">
        <f>55679+520</f>
        <v>56199</v>
      </c>
      <c r="L26" s="110"/>
      <c r="M26" s="110"/>
      <c r="N26" s="110"/>
      <c r="O26" s="109">
        <v>6014</v>
      </c>
      <c r="P26" s="109">
        <v>201625</v>
      </c>
      <c r="Q26" s="110">
        <v>201625</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v>395</v>
      </c>
      <c r="AU26" s="113"/>
      <c r="AV26" s="113"/>
      <c r="AW26" s="316"/>
    </row>
    <row r="27" spans="1:49" s="5" customFormat="1" x14ac:dyDescent="0.2">
      <c r="B27" s="158" t="s">
        <v>244</v>
      </c>
      <c r="C27" s="62"/>
      <c r="D27" s="109">
        <v>285200</v>
      </c>
      <c r="E27" s="110">
        <v>285200</v>
      </c>
      <c r="F27" s="110"/>
      <c r="G27" s="110"/>
      <c r="H27" s="110"/>
      <c r="I27" s="109">
        <v>202784</v>
      </c>
      <c r="J27" s="109">
        <f>913510+8394</f>
        <v>921904</v>
      </c>
      <c r="K27" s="110">
        <f>913510+8394</f>
        <v>921904</v>
      </c>
      <c r="L27" s="110"/>
      <c r="M27" s="110"/>
      <c r="N27" s="110"/>
      <c r="O27" s="109">
        <v>98670</v>
      </c>
      <c r="P27" s="109">
        <f>2948045+219775</f>
        <v>3167820</v>
      </c>
      <c r="Q27" s="110">
        <v>3167820</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f>3141865+132279</f>
        <v>3274144</v>
      </c>
      <c r="AT27" s="113">
        <v>7319</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719291</v>
      </c>
      <c r="E30" s="110">
        <v>719291</v>
      </c>
      <c r="F30" s="110"/>
      <c r="G30" s="110"/>
      <c r="H30" s="110"/>
      <c r="I30" s="109">
        <v>511434</v>
      </c>
      <c r="J30" s="109">
        <f>953673+3397</f>
        <v>957070</v>
      </c>
      <c r="K30" s="110">
        <f>953673+3397</f>
        <v>957070</v>
      </c>
      <c r="L30" s="110"/>
      <c r="M30" s="110"/>
      <c r="N30" s="110"/>
      <c r="O30" s="109">
        <v>103008</v>
      </c>
      <c r="P30" s="109">
        <f>88229+3283636</f>
        <v>3371865</v>
      </c>
      <c r="Q30" s="110">
        <v>3371865</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v>6765</v>
      </c>
      <c r="AU30" s="113"/>
      <c r="AV30" s="113"/>
      <c r="AW30" s="316"/>
    </row>
    <row r="31" spans="1:49" x14ac:dyDescent="0.2">
      <c r="B31" s="158" t="s">
        <v>248</v>
      </c>
      <c r="C31" s="62"/>
      <c r="D31" s="109"/>
      <c r="E31" s="110"/>
      <c r="F31" s="110"/>
      <c r="G31" s="110"/>
      <c r="H31" s="110"/>
      <c r="I31" s="109"/>
      <c r="J31" s="109">
        <v>23188</v>
      </c>
      <c r="K31" s="110">
        <v>23188</v>
      </c>
      <c r="L31" s="110"/>
      <c r="M31" s="110"/>
      <c r="N31" s="110"/>
      <c r="O31" s="109"/>
      <c r="P31" s="109">
        <v>602199</v>
      </c>
      <c r="Q31" s="110">
        <v>602199</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751885</v>
      </c>
      <c r="E34" s="110">
        <v>751885</v>
      </c>
      <c r="F34" s="110"/>
      <c r="G34" s="110"/>
      <c r="H34" s="110"/>
      <c r="I34" s="109">
        <v>534609</v>
      </c>
      <c r="J34" s="109">
        <f>16210+1734101</f>
        <v>1750311</v>
      </c>
      <c r="K34" s="110">
        <f>1734101+16210</f>
        <v>1750311</v>
      </c>
      <c r="L34" s="110"/>
      <c r="M34" s="110"/>
      <c r="N34" s="110"/>
      <c r="O34" s="109">
        <v>187304</v>
      </c>
      <c r="P34" s="109">
        <f>410400+5869204</f>
        <v>6279604</v>
      </c>
      <c r="Q34" s="110">
        <v>6279604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v>12315</v>
      </c>
      <c r="AU34" s="113"/>
      <c r="AV34" s="113"/>
      <c r="AW34" s="316"/>
    </row>
    <row r="35" spans="1:49" x14ac:dyDescent="0.2">
      <c r="B35" s="158" t="s">
        <v>252</v>
      </c>
      <c r="C35" s="62"/>
      <c r="D35" s="109">
        <v>29036</v>
      </c>
      <c r="E35" s="110">
        <v>29036</v>
      </c>
      <c r="F35" s="110"/>
      <c r="G35" s="110"/>
      <c r="H35" s="110"/>
      <c r="I35" s="109">
        <v>20645</v>
      </c>
      <c r="J35" s="109">
        <v>68176</v>
      </c>
      <c r="K35" s="110">
        <f>67042+1134</f>
        <v>68176</v>
      </c>
      <c r="L35" s="110"/>
      <c r="M35" s="110"/>
      <c r="N35" s="110"/>
      <c r="O35" s="109">
        <v>7241</v>
      </c>
      <c r="P35" s="109">
        <v>258976</v>
      </c>
      <c r="Q35" s="110">
        <v>258976</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85239</v>
      </c>
      <c r="E37" s="118">
        <v>85239</v>
      </c>
      <c r="F37" s="118"/>
      <c r="G37" s="118"/>
      <c r="H37" s="118"/>
      <c r="I37" s="117">
        <v>60607</v>
      </c>
      <c r="J37" s="117">
        <v>235607</v>
      </c>
      <c r="K37" s="118">
        <f>233411+2196</f>
        <v>235607</v>
      </c>
      <c r="L37" s="118"/>
      <c r="M37" s="118"/>
      <c r="N37" s="118"/>
      <c r="O37" s="117">
        <v>25211</v>
      </c>
      <c r="P37" s="117">
        <v>1181293</v>
      </c>
      <c r="Q37" s="118">
        <v>1181293</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1946166</v>
      </c>
      <c r="AT37" s="119"/>
      <c r="AU37" s="119"/>
      <c r="AV37" s="119">
        <v>2359081</v>
      </c>
      <c r="AW37" s="315"/>
    </row>
    <row r="38" spans="1:49" x14ac:dyDescent="0.2">
      <c r="B38" s="155" t="s">
        <v>255</v>
      </c>
      <c r="C38" s="62" t="s">
        <v>16</v>
      </c>
      <c r="D38" s="109">
        <v>63930</v>
      </c>
      <c r="E38" s="110">
        <v>63930</v>
      </c>
      <c r="F38" s="110"/>
      <c r="G38" s="110"/>
      <c r="H38" s="110"/>
      <c r="I38" s="109">
        <v>45456</v>
      </c>
      <c r="J38" s="109">
        <v>176704</v>
      </c>
      <c r="K38" s="110">
        <f>175057+1647</f>
        <v>176704</v>
      </c>
      <c r="L38" s="110"/>
      <c r="M38" s="110"/>
      <c r="N38" s="110"/>
      <c r="O38" s="109">
        <v>18908</v>
      </c>
      <c r="P38" s="109">
        <v>885971</v>
      </c>
      <c r="Q38" s="110">
        <v>885971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1459623</v>
      </c>
      <c r="AT38" s="113"/>
      <c r="AU38" s="113"/>
      <c r="AV38" s="113">
        <v>1769311</v>
      </c>
      <c r="AW38" s="316"/>
    </row>
    <row r="39" spans="1:49" x14ac:dyDescent="0.2">
      <c r="B39" s="158" t="s">
        <v>256</v>
      </c>
      <c r="C39" s="62" t="s">
        <v>17</v>
      </c>
      <c r="D39" s="109">
        <v>53276</v>
      </c>
      <c r="E39" s="110">
        <v>53276</v>
      </c>
      <c r="F39" s="110"/>
      <c r="G39" s="110"/>
      <c r="H39" s="110"/>
      <c r="I39" s="109">
        <v>37881</v>
      </c>
      <c r="J39" s="109">
        <v>147256</v>
      </c>
      <c r="K39" s="110">
        <f>145883+1373</f>
        <v>147256</v>
      </c>
      <c r="L39" s="110"/>
      <c r="M39" s="110"/>
      <c r="N39" s="110"/>
      <c r="O39" s="109">
        <v>15757</v>
      </c>
      <c r="P39" s="109">
        <v>738309</v>
      </c>
      <c r="Q39" s="110">
        <v>738309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1216352</v>
      </c>
      <c r="AT39" s="113"/>
      <c r="AU39" s="113"/>
      <c r="AV39" s="113">
        <v>1474425</v>
      </c>
      <c r="AW39" s="316"/>
    </row>
    <row r="40" spans="1:49" x14ac:dyDescent="0.2">
      <c r="B40" s="158" t="s">
        <v>257</v>
      </c>
      <c r="C40" s="62" t="s">
        <v>38</v>
      </c>
      <c r="D40" s="109">
        <v>10655</v>
      </c>
      <c r="E40" s="110">
        <v>10655</v>
      </c>
      <c r="F40" s="110"/>
      <c r="G40" s="110"/>
      <c r="H40" s="110"/>
      <c r="I40" s="109">
        <v>7576</v>
      </c>
      <c r="J40" s="109">
        <v>29551</v>
      </c>
      <c r="K40" s="110">
        <f>29276+275</f>
        <v>29551</v>
      </c>
      <c r="L40" s="110"/>
      <c r="M40" s="110"/>
      <c r="N40" s="110"/>
      <c r="O40" s="109">
        <v>3162</v>
      </c>
      <c r="P40" s="109">
        <v>147662</v>
      </c>
      <c r="Q40" s="110">
        <v>147662</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243270</v>
      </c>
      <c r="AT40" s="113"/>
      <c r="AU40" s="113"/>
      <c r="AV40" s="113">
        <v>294885</v>
      </c>
      <c r="AW40" s="316"/>
    </row>
    <row r="41" spans="1:49" s="5" customFormat="1" ht="25.5" x14ac:dyDescent="0.2">
      <c r="A41" s="35"/>
      <c r="B41" s="158" t="s">
        <v>258</v>
      </c>
      <c r="C41" s="62" t="s">
        <v>129</v>
      </c>
      <c r="D41" s="109"/>
      <c r="E41" s="110"/>
      <c r="F41" s="110"/>
      <c r="G41" s="110"/>
      <c r="H41" s="110"/>
      <c r="I41" s="109"/>
      <c r="J41" s="109">
        <v>403068</v>
      </c>
      <c r="K41" s="110">
        <f>399310+3758</f>
        <v>403068</v>
      </c>
      <c r="L41" s="110"/>
      <c r="M41" s="110"/>
      <c r="N41" s="110"/>
      <c r="O41" s="109"/>
      <c r="P41" s="109">
        <v>1038923</v>
      </c>
      <c r="Q41" s="110">
        <v>1038923</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104806</v>
      </c>
      <c r="AT41" s="113"/>
      <c r="AU41" s="113"/>
      <c r="AV41" s="113">
        <v>48101</v>
      </c>
      <c r="AW41" s="316"/>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1596025</v>
      </c>
      <c r="E44" s="118">
        <v>1596025</v>
      </c>
      <c r="F44" s="118"/>
      <c r="G44" s="118"/>
      <c r="H44" s="118"/>
      <c r="I44" s="117">
        <v>1134813</v>
      </c>
      <c r="J44" s="117">
        <v>1844913</v>
      </c>
      <c r="K44" s="118">
        <v>1844913</v>
      </c>
      <c r="L44" s="118"/>
      <c r="M44" s="118"/>
      <c r="N44" s="118"/>
      <c r="O44" s="117">
        <v>197416</v>
      </c>
      <c r="P44" s="117">
        <v>2887911</v>
      </c>
      <c r="Q44" s="118">
        <v>2887911</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475232</v>
      </c>
      <c r="AT44" s="119">
        <v>22801</v>
      </c>
      <c r="AU44" s="119"/>
      <c r="AV44" s="119">
        <v>9381400</v>
      </c>
      <c r="AW44" s="315"/>
    </row>
    <row r="45" spans="1:49" x14ac:dyDescent="0.2">
      <c r="B45" s="161" t="s">
        <v>262</v>
      </c>
      <c r="C45" s="62" t="s">
        <v>19</v>
      </c>
      <c r="D45" s="109">
        <v>2076032</v>
      </c>
      <c r="E45" s="110">
        <v>2076032</v>
      </c>
      <c r="F45" s="110"/>
      <c r="G45" s="110"/>
      <c r="H45" s="110"/>
      <c r="I45" s="109">
        <v>1476110</v>
      </c>
      <c r="J45" s="109">
        <v>3255551</v>
      </c>
      <c r="K45" s="110">
        <v>3255551</v>
      </c>
      <c r="L45" s="110"/>
      <c r="M45" s="110"/>
      <c r="N45" s="110"/>
      <c r="O45" s="109">
        <v>348361</v>
      </c>
      <c r="P45" s="109">
        <v>7895108</v>
      </c>
      <c r="Q45" s="110">
        <v>7895108</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6248833</v>
      </c>
      <c r="AT45" s="113">
        <v>26165</v>
      </c>
      <c r="AU45" s="113"/>
      <c r="AV45" s="113">
        <v>17885015</v>
      </c>
      <c r="AW45" s="316"/>
    </row>
    <row r="46" spans="1:49" x14ac:dyDescent="0.2">
      <c r="B46" s="161" t="s">
        <v>263</v>
      </c>
      <c r="C46" s="62" t="s">
        <v>20</v>
      </c>
      <c r="D46" s="109">
        <v>1226817</v>
      </c>
      <c r="E46" s="110">
        <v>1226817</v>
      </c>
      <c r="F46" s="110"/>
      <c r="G46" s="110"/>
      <c r="H46" s="110"/>
      <c r="I46" s="109">
        <v>872297</v>
      </c>
      <c r="J46" s="109">
        <v>1808343</v>
      </c>
      <c r="K46" s="110">
        <v>1808343</v>
      </c>
      <c r="L46" s="110"/>
      <c r="M46" s="110"/>
      <c r="N46" s="110"/>
      <c r="O46" s="109">
        <v>193467</v>
      </c>
      <c r="P46" s="109">
        <v>3595971</v>
      </c>
      <c r="Q46" s="110">
        <v>3595971</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1468940</v>
      </c>
      <c r="AT46" s="113">
        <v>95</v>
      </c>
      <c r="AU46" s="113"/>
      <c r="AV46" s="113">
        <v>1039202</v>
      </c>
      <c r="AW46" s="316"/>
    </row>
    <row r="47" spans="1:49" x14ac:dyDescent="0.2">
      <c r="B47" s="161" t="s">
        <v>264</v>
      </c>
      <c r="C47" s="62" t="s">
        <v>21</v>
      </c>
      <c r="D47" s="109">
        <v>1020112</v>
      </c>
      <c r="E47" s="110">
        <v>1020112</v>
      </c>
      <c r="F47" s="110"/>
      <c r="G47" s="110"/>
      <c r="H47" s="110"/>
      <c r="I47" s="109">
        <v>725325</v>
      </c>
      <c r="J47" s="109">
        <v>4267252</v>
      </c>
      <c r="K47" s="110">
        <v>4267252</v>
      </c>
      <c r="L47" s="110"/>
      <c r="M47" s="110"/>
      <c r="N47" s="110"/>
      <c r="O47" s="109">
        <v>457028</v>
      </c>
      <c r="P47" s="109">
        <v>7203826</v>
      </c>
      <c r="Q47" s="110">
        <v>7203826</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1236935</v>
      </c>
      <c r="AT47" s="113"/>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2">
      <c r="B51" s="155" t="s">
        <v>267</v>
      </c>
      <c r="C51" s="62"/>
      <c r="D51" s="109">
        <v>4459379</v>
      </c>
      <c r="E51" s="110">
        <v>4459379</v>
      </c>
      <c r="F51" s="110"/>
      <c r="G51" s="110"/>
      <c r="H51" s="110"/>
      <c r="I51" s="109">
        <v>3170728</v>
      </c>
      <c r="J51" s="109">
        <v>3349206</v>
      </c>
      <c r="K51" s="110">
        <v>3349206</v>
      </c>
      <c r="L51" s="110"/>
      <c r="M51" s="110"/>
      <c r="N51" s="110"/>
      <c r="O51" s="109">
        <v>361755</v>
      </c>
      <c r="P51" s="109">
        <v>7657114</v>
      </c>
      <c r="Q51" s="110">
        <v>7657114</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19629805</v>
      </c>
      <c r="AT51" s="113">
        <v>91546</v>
      </c>
      <c r="AU51" s="113"/>
      <c r="AV51" s="113">
        <v>18861780</v>
      </c>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f>36639905+20598595</f>
        <v>57238500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7229</v>
      </c>
      <c r="E56" s="122">
        <v>7229</v>
      </c>
      <c r="F56" s="122"/>
      <c r="G56" s="122"/>
      <c r="H56" s="122"/>
      <c r="I56" s="121">
        <v>5668</v>
      </c>
      <c r="J56" s="121">
        <v>15016</v>
      </c>
      <c r="K56" s="122">
        <v>15016</v>
      </c>
      <c r="L56" s="122"/>
      <c r="M56" s="122"/>
      <c r="N56" s="122"/>
      <c r="O56" s="121">
        <v>2419</v>
      </c>
      <c r="P56" s="121">
        <v>54640</v>
      </c>
      <c r="Q56" s="122">
        <v>54640</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42838</v>
      </c>
      <c r="AT56" s="123">
        <v>1091</v>
      </c>
      <c r="AU56" s="123"/>
      <c r="AV56" s="123">
        <v>91845</v>
      </c>
      <c r="AW56" s="307"/>
    </row>
    <row r="57" spans="2:49" x14ac:dyDescent="0.2">
      <c r="B57" s="161" t="s">
        <v>273</v>
      </c>
      <c r="C57" s="62" t="s">
        <v>25</v>
      </c>
      <c r="D57" s="124">
        <v>12017</v>
      </c>
      <c r="E57" s="125">
        <v>12017</v>
      </c>
      <c r="F57" s="125"/>
      <c r="G57" s="125"/>
      <c r="H57" s="125"/>
      <c r="I57" s="124">
        <v>8794</v>
      </c>
      <c r="J57" s="124">
        <v>25559</v>
      </c>
      <c r="K57" s="125">
        <v>25559</v>
      </c>
      <c r="L57" s="125"/>
      <c r="M57" s="125"/>
      <c r="N57" s="125"/>
      <c r="O57" s="124">
        <v>4005</v>
      </c>
      <c r="P57" s="124">
        <v>102312</v>
      </c>
      <c r="Q57" s="125">
        <v>102312</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44963</v>
      </c>
      <c r="AT57" s="126">
        <v>2560</v>
      </c>
      <c r="AU57" s="126"/>
      <c r="AV57" s="126">
        <v>214687</v>
      </c>
      <c r="AW57" s="308"/>
    </row>
    <row r="58" spans="2:49" x14ac:dyDescent="0.2">
      <c r="B58" s="161" t="s">
        <v>274</v>
      </c>
      <c r="C58" s="62" t="s">
        <v>26</v>
      </c>
      <c r="D58" s="328"/>
      <c r="E58" s="329"/>
      <c r="F58" s="329"/>
      <c r="G58" s="329"/>
      <c r="H58" s="329"/>
      <c r="I58" s="328"/>
      <c r="J58" s="124">
        <v>2937</v>
      </c>
      <c r="K58" s="125">
        <v>2937</v>
      </c>
      <c r="L58" s="125"/>
      <c r="M58" s="125"/>
      <c r="N58" s="125"/>
      <c r="O58" s="124">
        <v>309</v>
      </c>
      <c r="P58" s="124">
        <v>627</v>
      </c>
      <c r="Q58" s="125">
        <v>627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36</v>
      </c>
      <c r="AT58" s="126">
        <v>1</v>
      </c>
      <c r="AU58" s="126"/>
      <c r="AV58" s="126">
        <v>13</v>
      </c>
      <c r="AW58" s="308"/>
    </row>
    <row r="59" spans="2:49" x14ac:dyDescent="0.2">
      <c r="B59" s="161" t="s">
        <v>275</v>
      </c>
      <c r="C59" s="62" t="s">
        <v>27</v>
      </c>
      <c r="D59" s="124">
        <v>143417</v>
      </c>
      <c r="E59" s="125">
        <v>143417</v>
      </c>
      <c r="F59" s="125"/>
      <c r="G59" s="125"/>
      <c r="H59" s="125"/>
      <c r="I59" s="124">
        <v>101973</v>
      </c>
      <c r="J59" s="124">
        <v>333860</v>
      </c>
      <c r="K59" s="125">
        <v>333860</v>
      </c>
      <c r="L59" s="125"/>
      <c r="M59" s="125"/>
      <c r="N59" s="125"/>
      <c r="O59" s="124">
        <v>35727</v>
      </c>
      <c r="P59" s="124">
        <v>1197792</v>
      </c>
      <c r="Q59" s="125">
        <v>1197792</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529877</v>
      </c>
      <c r="AT59" s="126">
        <v>25147</v>
      </c>
      <c r="AU59" s="126"/>
      <c r="AV59" s="126">
        <v>2517435</v>
      </c>
      <c r="AW59" s="308"/>
    </row>
    <row r="60" spans="2:49" x14ac:dyDescent="0.2">
      <c r="B60" s="161" t="s">
        <v>276</v>
      </c>
      <c r="C60" s="62"/>
      <c r="D60" s="127">
        <f>D59/12</f>
        <v>11951.416666666666</v>
      </c>
      <c r="E60" s="128">
        <v>11951</v>
      </c>
      <c r="F60" s="128"/>
      <c r="G60" s="128"/>
      <c r="H60" s="128"/>
      <c r="I60" s="127">
        <v>8498</v>
      </c>
      <c r="J60" s="127">
        <f>J59/12</f>
        <v>27821.666666666668</v>
      </c>
      <c r="K60" s="128">
        <v>27822</v>
      </c>
      <c r="L60" s="128"/>
      <c r="M60" s="128"/>
      <c r="N60" s="128"/>
      <c r="O60" s="127">
        <v>2977</v>
      </c>
      <c r="P60" s="127">
        <v>99816</v>
      </c>
      <c r="Q60" s="128">
        <f>Q59/12</f>
        <v>99816</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f>AS59/12</f>
        <v>44156.416666666664</v>
      </c>
      <c r="AT60" s="129">
        <f>AT59/12</f>
        <v>2095.5833333333335</v>
      </c>
      <c r="AU60" s="129"/>
      <c r="AV60" s="129">
        <f>AV59/12</f>
        <v>209786.25</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15196638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2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80" zoomScaleNormal="80" workbookViewId="0">
      <pane xSplit="2" ySplit="3" topLeftCell="D4" activePane="bottomRight" state="frozen"/>
      <selection activeCell="B1" sqref="B1"/>
      <selection pane="topRight" activeCell="D1" sqref="D1"/>
      <selection pane="bottomLeft" activeCell="B4" sqref="B4"/>
      <selection pane="bottomRight" activeCell="E18" sqref="E1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41152791</v>
      </c>
      <c r="E5" s="118">
        <v>41152791</v>
      </c>
      <c r="F5" s="118"/>
      <c r="G5" s="130"/>
      <c r="H5" s="130"/>
      <c r="I5" s="117">
        <v>32131538</v>
      </c>
      <c r="J5" s="117">
        <v>135534417</v>
      </c>
      <c r="K5" s="118">
        <f>134398788+1135629</f>
        <v>135534417</v>
      </c>
      <c r="L5" s="118"/>
      <c r="M5" s="118"/>
      <c r="N5" s="118"/>
      <c r="O5" s="117">
        <v>16281771</v>
      </c>
      <c r="P5" s="117">
        <v>452509444</v>
      </c>
      <c r="Q5" s="118">
        <f>421149245+31360199</f>
        <v>452509444</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471880545</v>
      </c>
      <c r="AT5" s="119">
        <v>1313403</v>
      </c>
      <c r="AU5" s="119"/>
      <c r="AV5" s="310"/>
      <c r="AW5" s="315"/>
    </row>
    <row r="6" spans="2:49" x14ac:dyDescent="0.2">
      <c r="B6" s="176" t="s">
        <v>279</v>
      </c>
      <c r="C6" s="133" t="s">
        <v>8</v>
      </c>
      <c r="D6" s="109">
        <v>1156595</v>
      </c>
      <c r="E6" s="110">
        <v>1156595</v>
      </c>
      <c r="F6" s="110"/>
      <c r="G6" s="111"/>
      <c r="H6" s="111"/>
      <c r="I6" s="109"/>
      <c r="J6" s="109">
        <v>2261276</v>
      </c>
      <c r="K6" s="110">
        <f>2187134+74142</f>
        <v>2261276</v>
      </c>
      <c r="L6" s="110"/>
      <c r="M6" s="110"/>
      <c r="N6" s="110"/>
      <c r="O6" s="109"/>
      <c r="P6" s="109">
        <v>6801394</v>
      </c>
      <c r="Q6" s="110">
        <f>6235386+566008</f>
        <v>6801394</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v>953242</v>
      </c>
      <c r="AT6" s="113">
        <v>15495</v>
      </c>
      <c r="AU6" s="113"/>
      <c r="AV6" s="309"/>
      <c r="AW6" s="316"/>
    </row>
    <row r="7" spans="2:49" x14ac:dyDescent="0.2">
      <c r="B7" s="176" t="s">
        <v>280</v>
      </c>
      <c r="C7" s="133" t="s">
        <v>9</v>
      </c>
      <c r="D7" s="109">
        <v>1205671</v>
      </c>
      <c r="E7" s="110">
        <v>1205671</v>
      </c>
      <c r="F7" s="110"/>
      <c r="G7" s="111"/>
      <c r="H7" s="111"/>
      <c r="I7" s="109"/>
      <c r="J7" s="109">
        <v>4928474</v>
      </c>
      <c r="K7" s="110">
        <f>4928474</f>
        <v>4928474</v>
      </c>
      <c r="L7" s="110"/>
      <c r="M7" s="110"/>
      <c r="N7" s="110"/>
      <c r="O7" s="109"/>
      <c r="P7" s="109">
        <v>2756276</v>
      </c>
      <c r="Q7" s="110">
        <f>2504654+251622</f>
        <v>2756276</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v>955492</v>
      </c>
      <c r="AT7" s="113">
        <v>2394</v>
      </c>
      <c r="AU7" s="113"/>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8" t="s">
        <v>286</v>
      </c>
      <c r="C15" s="133"/>
      <c r="D15" s="109">
        <v>8094883</v>
      </c>
      <c r="E15" s="110">
        <v>8094883</v>
      </c>
      <c r="F15" s="110"/>
      <c r="G15" s="110"/>
      <c r="H15" s="110"/>
      <c r="I15" s="109">
        <v>8094883</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2963921</v>
      </c>
      <c r="E16" s="110">
        <v>2963921</v>
      </c>
      <c r="F16" s="110"/>
      <c r="G16" s="110"/>
      <c r="H16" s="110"/>
      <c r="I16" s="109">
        <v>2963921</v>
      </c>
      <c r="J16" s="109">
        <v>1673687</v>
      </c>
      <c r="K16" s="110">
        <f>1673687</f>
        <v>1673687</v>
      </c>
      <c r="L16" s="110"/>
      <c r="M16" s="110"/>
      <c r="N16" s="110"/>
      <c r="O16" s="109">
        <v>1673687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c r="E17" s="267">
        <v>-2901127</v>
      </c>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48986455</v>
      </c>
      <c r="E23" s="286"/>
      <c r="F23" s="286"/>
      <c r="G23" s="286"/>
      <c r="H23" s="286"/>
      <c r="I23" s="290"/>
      <c r="J23" s="109">
        <v>99896995</v>
      </c>
      <c r="K23" s="286"/>
      <c r="L23" s="286"/>
      <c r="M23" s="286"/>
      <c r="N23" s="286"/>
      <c r="O23" s="290"/>
      <c r="P23" s="109">
        <v>401399632</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400422413</v>
      </c>
      <c r="AT23" s="113">
        <v>1282582</v>
      </c>
      <c r="AU23" s="113"/>
      <c r="AV23" s="309"/>
      <c r="AW23" s="316"/>
    </row>
    <row r="24" spans="2:49" ht="28.5" customHeight="1" x14ac:dyDescent="0.2">
      <c r="B24" s="178" t="s">
        <v>114</v>
      </c>
      <c r="C24" s="133"/>
      <c r="D24" s="291"/>
      <c r="E24" s="110">
        <v>45602816</v>
      </c>
      <c r="F24" s="110"/>
      <c r="G24" s="110"/>
      <c r="H24" s="110"/>
      <c r="I24" s="109">
        <v>39879907</v>
      </c>
      <c r="J24" s="291"/>
      <c r="K24" s="110">
        <f>104527938+1355421</f>
        <v>105883359</v>
      </c>
      <c r="L24" s="110"/>
      <c r="M24" s="110"/>
      <c r="N24" s="110"/>
      <c r="O24" s="109">
        <v>12561443</v>
      </c>
      <c r="P24" s="291"/>
      <c r="Q24" s="110">
        <f>376742476+28266412</f>
        <v>405008888</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4694612</v>
      </c>
      <c r="E26" s="286"/>
      <c r="F26" s="286"/>
      <c r="G26" s="286"/>
      <c r="H26" s="286"/>
      <c r="I26" s="290"/>
      <c r="J26" s="109">
        <v>9404075</v>
      </c>
      <c r="K26" s="286"/>
      <c r="L26" s="286"/>
      <c r="M26" s="286"/>
      <c r="N26" s="286"/>
      <c r="O26" s="290"/>
      <c r="P26" s="109">
        <v>39006749</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40103088</v>
      </c>
      <c r="AT26" s="113">
        <v>91329</v>
      </c>
      <c r="AU26" s="113"/>
      <c r="AV26" s="309"/>
      <c r="AW26" s="316"/>
    </row>
    <row r="27" spans="2:49" s="5" customFormat="1" ht="25.5" x14ac:dyDescent="0.2">
      <c r="B27" s="178" t="s">
        <v>85</v>
      </c>
      <c r="C27" s="133"/>
      <c r="D27" s="291"/>
      <c r="E27" s="110">
        <v>760665</v>
      </c>
      <c r="F27" s="110"/>
      <c r="G27" s="110"/>
      <c r="H27" s="110"/>
      <c r="I27" s="109">
        <v>758000</v>
      </c>
      <c r="J27" s="291"/>
      <c r="K27" s="110">
        <f>1084039+13341</f>
        <v>1097380</v>
      </c>
      <c r="L27" s="110"/>
      <c r="M27" s="110"/>
      <c r="N27" s="110"/>
      <c r="O27" s="109">
        <v>130272</v>
      </c>
      <c r="P27" s="291"/>
      <c r="Q27" s="110">
        <f>3888518+292630</f>
        <v>4181148</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
      <c r="B28" s="176" t="s">
        <v>290</v>
      </c>
      <c r="C28" s="133" t="s">
        <v>47</v>
      </c>
      <c r="D28" s="109">
        <v>3336211</v>
      </c>
      <c r="E28" s="287"/>
      <c r="F28" s="287"/>
      <c r="G28" s="287"/>
      <c r="H28" s="287"/>
      <c r="I28" s="291"/>
      <c r="J28" s="109">
        <v>11968816</v>
      </c>
      <c r="K28" s="287"/>
      <c r="L28" s="287"/>
      <c r="M28" s="287"/>
      <c r="N28" s="287"/>
      <c r="O28" s="291"/>
      <c r="P28" s="109">
        <v>36183735</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37572405</v>
      </c>
      <c r="AT28" s="113">
        <v>121662</v>
      </c>
      <c r="AU28" s="113"/>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5" x14ac:dyDescent="0.2">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c r="E45" s="110"/>
      <c r="F45" s="110"/>
      <c r="G45" s="110"/>
      <c r="H45" s="110"/>
      <c r="I45" s="109"/>
      <c r="J45" s="109">
        <v>118323</v>
      </c>
      <c r="K45" s="110">
        <v>118323</v>
      </c>
      <c r="L45" s="110"/>
      <c r="M45" s="110"/>
      <c r="N45" s="110"/>
      <c r="O45" s="109">
        <v>14219</v>
      </c>
      <c r="P45" s="109">
        <v>502067</v>
      </c>
      <c r="Q45" s="110">
        <f>463044+39023</f>
        <v>502067</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16736847</v>
      </c>
      <c r="AT45" s="113"/>
      <c r="AU45" s="113"/>
      <c r="AV45" s="309"/>
      <c r="AW45" s="316"/>
    </row>
    <row r="46" spans="2:49" x14ac:dyDescent="0.2">
      <c r="B46" s="176" t="s">
        <v>116</v>
      </c>
      <c r="C46" s="133" t="s">
        <v>31</v>
      </c>
      <c r="D46" s="109"/>
      <c r="E46" s="110"/>
      <c r="F46" s="110"/>
      <c r="G46" s="110"/>
      <c r="H46" s="110"/>
      <c r="I46" s="109"/>
      <c r="J46" s="109">
        <v>81304</v>
      </c>
      <c r="K46" s="110">
        <v>81304</v>
      </c>
      <c r="L46" s="110"/>
      <c r="M46" s="110"/>
      <c r="N46" s="110"/>
      <c r="O46" s="109">
        <v>9771</v>
      </c>
      <c r="P46" s="109">
        <v>319517</v>
      </c>
      <c r="Q46" s="110">
        <f>318177+1340</f>
        <v>319517</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25130834</v>
      </c>
      <c r="AT46" s="113"/>
      <c r="AU46" s="113"/>
      <c r="AV46" s="309"/>
      <c r="AW46" s="316"/>
    </row>
    <row r="47" spans="2:49" x14ac:dyDescent="0.2">
      <c r="B47" s="176" t="s">
        <v>117</v>
      </c>
      <c r="C47" s="133" t="s">
        <v>32</v>
      </c>
      <c r="D47" s="109"/>
      <c r="E47" s="287"/>
      <c r="F47" s="287"/>
      <c r="G47" s="287"/>
      <c r="H47" s="287"/>
      <c r="I47" s="291"/>
      <c r="J47" s="109">
        <v>-217593</v>
      </c>
      <c r="K47" s="287"/>
      <c r="L47" s="287"/>
      <c r="M47" s="287"/>
      <c r="N47" s="287"/>
      <c r="O47" s="291"/>
      <c r="P47" s="109">
        <v>-657821</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15433424</v>
      </c>
      <c r="AT47" s="113"/>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2">
      <c r="B50" s="176" t="s">
        <v>119</v>
      </c>
      <c r="C50" s="133" t="s">
        <v>34</v>
      </c>
      <c r="D50" s="109"/>
      <c r="E50" s="287"/>
      <c r="F50" s="287"/>
      <c r="G50" s="287"/>
      <c r="H50" s="287"/>
      <c r="I50" s="291"/>
      <c r="J50" s="109"/>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
      <c r="B54" s="181" t="s">
        <v>303</v>
      </c>
      <c r="C54" s="136" t="s">
        <v>77</v>
      </c>
      <c r="D54" s="114">
        <v>50344856</v>
      </c>
      <c r="E54" s="115">
        <f>+E24+E27</f>
        <v>46363481</v>
      </c>
      <c r="F54" s="115"/>
      <c r="G54" s="115"/>
      <c r="H54" s="115"/>
      <c r="I54" s="114">
        <f>+I24+I27</f>
        <v>40637907</v>
      </c>
      <c r="J54" s="114">
        <v>97749474</v>
      </c>
      <c r="K54" s="115">
        <f>+K24+K27+K45+K46</f>
        <v>107180366</v>
      </c>
      <c r="L54" s="115"/>
      <c r="M54" s="115"/>
      <c r="N54" s="115"/>
      <c r="O54" s="114">
        <f>+O24+O27+O45+O46</f>
        <v>12715705</v>
      </c>
      <c r="P54" s="114">
        <v>405702051</v>
      </c>
      <c r="Q54" s="115">
        <f>Q24+Q27+Q45+Q46</f>
        <v>410011620</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v>429387353</v>
      </c>
      <c r="AT54" s="116">
        <v>1252249</v>
      </c>
      <c r="AU54" s="116"/>
      <c r="AV54" s="309"/>
      <c r="AW54" s="316"/>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90" fitToWidth="2" fitToHeight="0" pageOrder="overThenDown" orientation="portrait"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45" sqref="B4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34894808</v>
      </c>
      <c r="D5" s="118">
        <v>39316629</v>
      </c>
      <c r="E5" s="344"/>
      <c r="F5" s="344"/>
      <c r="G5" s="310"/>
      <c r="H5" s="117">
        <f>113140381+2395307</f>
        <v>115535688</v>
      </c>
      <c r="I5" s="118">
        <f>123003082+3080999</f>
        <v>126084081</v>
      </c>
      <c r="J5" s="344"/>
      <c r="K5" s="344"/>
      <c r="L5" s="310"/>
      <c r="M5" s="117">
        <f>368479523+22693094</f>
        <v>391172617</v>
      </c>
      <c r="N5" s="118">
        <f>367818522+26320974</f>
        <v>394139496</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91" t="s">
        <v>311</v>
      </c>
      <c r="C6" s="109">
        <v>36779635</v>
      </c>
      <c r="D6" s="110">
        <v>40131422</v>
      </c>
      <c r="E6" s="115">
        <v>46363481</v>
      </c>
      <c r="F6" s="115">
        <v>123274538</v>
      </c>
      <c r="G6" s="116">
        <v>40637907</v>
      </c>
      <c r="H6" s="109">
        <f>106009542+2292083</f>
        <v>108301625</v>
      </c>
      <c r="I6" s="110">
        <f>116151267+2912898</f>
        <v>119064165</v>
      </c>
      <c r="J6" s="115">
        <f>105811604+1368762</f>
        <v>107180366</v>
      </c>
      <c r="K6" s="115">
        <f>327972413+6573743</f>
        <v>334546156</v>
      </c>
      <c r="L6" s="116">
        <v>12715705</v>
      </c>
      <c r="M6" s="109">
        <f>344803131+21878909</f>
        <v>366682040</v>
      </c>
      <c r="N6" s="110">
        <f>348159739+24968029</f>
        <v>373127768</v>
      </c>
      <c r="O6" s="115">
        <f>381412215+28599405</f>
        <v>410011620</v>
      </c>
      <c r="P6" s="115">
        <f>1074375085+75446343</f>
        <v>1149821428</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91" t="s">
        <v>312</v>
      </c>
      <c r="C7" s="109">
        <v>200588</v>
      </c>
      <c r="D7" s="110">
        <v>252865</v>
      </c>
      <c r="E7" s="115">
        <v>213100</v>
      </c>
      <c r="F7" s="115">
        <v>666553</v>
      </c>
      <c r="G7" s="116">
        <v>121215</v>
      </c>
      <c r="H7" s="109">
        <f>551600+12200</f>
        <v>563800</v>
      </c>
      <c r="I7" s="110">
        <f>1062136+26595</f>
        <v>1088731</v>
      </c>
      <c r="J7" s="115">
        <f>982937+9249</f>
        <v>992186</v>
      </c>
      <c r="K7" s="115">
        <f>2596673+48044</f>
        <v>2644717</v>
      </c>
      <c r="L7" s="116">
        <v>63038</v>
      </c>
      <c r="M7" s="109">
        <f>1795215+110198</f>
        <v>1905413</v>
      </c>
      <c r="N7" s="110">
        <f>3476441+220773</f>
        <v>3697214</v>
      </c>
      <c r="O7" s="115">
        <f>3731248+260910</f>
        <v>3992158</v>
      </c>
      <c r="P7" s="115">
        <f>9002904+591881</f>
        <v>9594785</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8094883</v>
      </c>
      <c r="F9" s="115">
        <v>8094883</v>
      </c>
      <c r="G9" s="116">
        <v>7095220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2963921</v>
      </c>
      <c r="F10" s="115">
        <v>2963921</v>
      </c>
      <c r="G10" s="116">
        <v>2597897</v>
      </c>
      <c r="H10" s="290"/>
      <c r="I10" s="286"/>
      <c r="J10" s="115">
        <f>1673687</f>
        <v>1673687</v>
      </c>
      <c r="K10" s="115">
        <f>1673687</f>
        <v>1673687</v>
      </c>
      <c r="L10" s="116">
        <v>1673687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35095396</v>
      </c>
      <c r="D12" s="115">
        <f>+D6+D7</f>
        <v>40384287</v>
      </c>
      <c r="E12" s="115">
        <v>35517777</v>
      </c>
      <c r="F12" s="115">
        <v>112882287</v>
      </c>
      <c r="G12" s="309"/>
      <c r="H12" s="114">
        <f>113691981+2304283</f>
        <v>115996264</v>
      </c>
      <c r="I12" s="115">
        <f>117213403+2939493</f>
        <v>120152896</v>
      </c>
      <c r="J12" s="115">
        <f>105120854+1378011</f>
        <v>106498865</v>
      </c>
      <c r="K12" s="115">
        <f>336026238+6621787</f>
        <v>342648025</v>
      </c>
      <c r="L12" s="309"/>
      <c r="M12" s="114">
        <f>370274738+21989107</f>
        <v>392263845</v>
      </c>
      <c r="N12" s="115">
        <f>351636180+25188802</f>
        <v>376824982</v>
      </c>
      <c r="O12" s="115">
        <f>385143463+28860315</f>
        <v>414003778</v>
      </c>
      <c r="P12" s="115">
        <f>1107054381+76038224</f>
        <v>1183092605</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40224557</v>
      </c>
      <c r="D15" s="118">
        <v>44881920</v>
      </c>
      <c r="E15" s="106">
        <v>52162519</v>
      </c>
      <c r="F15" s="106">
        <v>137268996</v>
      </c>
      <c r="G15" s="107">
        <v>45720803</v>
      </c>
      <c r="H15" s="117">
        <f>131843283+3087494</f>
        <v>134930777</v>
      </c>
      <c r="I15" s="118">
        <f>141915825+3669796</f>
        <v>145585621</v>
      </c>
      <c r="J15" s="106">
        <f>141915825+1209771</f>
        <v>143125596</v>
      </c>
      <c r="K15" s="106">
        <f>415674933+7967061</f>
        <v>423641994</v>
      </c>
      <c r="L15" s="107">
        <v>17818695</v>
      </c>
      <c r="M15" s="117">
        <f>402245688+26416848</f>
        <v>428662536</v>
      </c>
      <c r="N15" s="118">
        <f>404606350+28164033</f>
        <v>432770383</v>
      </c>
      <c r="O15" s="106">
        <f>424879977+31674585</f>
        <v>456554562</v>
      </c>
      <c r="P15" s="106">
        <f>1231732015+86255466</f>
        <v>1317987481</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91" t="s">
        <v>313</v>
      </c>
      <c r="C16" s="109">
        <v>1068984</v>
      </c>
      <c r="D16" s="110">
        <v>997616</v>
      </c>
      <c r="E16" s="115">
        <v>1809554</v>
      </c>
      <c r="F16" s="115">
        <v>3876154</v>
      </c>
      <c r="G16" s="116">
        <v>1586086</v>
      </c>
      <c r="H16" s="109">
        <f>3279288+76044</f>
        <v>3355332</v>
      </c>
      <c r="I16" s="110">
        <f>2097790+52526</f>
        <v>2150316</v>
      </c>
      <c r="J16" s="115">
        <f>2097790+52843</f>
        <v>2150633</v>
      </c>
      <c r="K16" s="115">
        <f>7474868+181413</f>
        <v>7656281</v>
      </c>
      <c r="L16" s="116">
        <v>402237</v>
      </c>
      <c r="M16" s="109">
        <f>10010613+650881</f>
        <v>10661494</v>
      </c>
      <c r="N16" s="110">
        <f>6112588+388177</f>
        <v>6500765</v>
      </c>
      <c r="O16" s="115">
        <f>12518917+1363172</f>
        <v>13882089</v>
      </c>
      <c r="P16" s="115">
        <f>28642118+2402230</f>
        <v>31044348</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2" t="s">
        <v>320</v>
      </c>
      <c r="C17" s="114">
        <v>39155573</v>
      </c>
      <c r="D17" s="115">
        <f>+D15-D16</f>
        <v>43884304</v>
      </c>
      <c r="E17" s="115">
        <v>50352965</v>
      </c>
      <c r="F17" s="115">
        <v>133392842</v>
      </c>
      <c r="G17" s="312"/>
      <c r="H17" s="114">
        <f>128563995+3011450</f>
        <v>131575445</v>
      </c>
      <c r="I17" s="115">
        <f>139818035+3617270</f>
        <v>143435305</v>
      </c>
      <c r="J17" s="115">
        <f>139818035+1156928</f>
        <v>140974963</v>
      </c>
      <c r="K17" s="115">
        <f>408200065+7785648</f>
        <v>415985713</v>
      </c>
      <c r="L17" s="312"/>
      <c r="M17" s="114">
        <f>392235075+25765967</f>
        <v>418001042</v>
      </c>
      <c r="N17" s="115">
        <f>398493762+27775856</f>
        <v>426269618</v>
      </c>
      <c r="O17" s="115">
        <f>412361060+30311413</f>
        <v>442672473</v>
      </c>
      <c r="P17" s="115">
        <f>1203089897+83853236</f>
        <v>1286943133</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31066005</v>
      </c>
      <c r="H19" s="345"/>
      <c r="I19" s="344"/>
      <c r="J19" s="344"/>
      <c r="K19" s="344"/>
      <c r="L19" s="107">
        <v>11105056</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7379273</v>
      </c>
      <c r="H20" s="290"/>
      <c r="I20" s="286"/>
      <c r="J20" s="286"/>
      <c r="K20" s="286"/>
      <c r="L20" s="116">
        <v>1558027</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0.70389043200000001</v>
      </c>
      <c r="H21" s="290"/>
      <c r="I21" s="286"/>
      <c r="J21" s="286"/>
      <c r="K21" s="286"/>
      <c r="L21" s="253">
        <v>0.63761851003229242</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5689439</v>
      </c>
      <c r="H23" s="290"/>
      <c r="I23" s="286"/>
      <c r="J23" s="286"/>
      <c r="K23" s="286"/>
      <c r="L23" s="116">
        <v>4753375</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5689439</v>
      </c>
      <c r="H24" s="290"/>
      <c r="I24" s="286"/>
      <c r="J24" s="286"/>
      <c r="K24" s="286"/>
      <c r="L24" s="116">
        <v>4753375</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1371624</v>
      </c>
      <c r="H25" s="290"/>
      <c r="I25" s="286"/>
      <c r="J25" s="286"/>
      <c r="K25" s="286"/>
      <c r="L25" s="116">
        <v>522494</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10413029</v>
      </c>
      <c r="H26" s="290"/>
      <c r="I26" s="286"/>
      <c r="J26" s="286"/>
      <c r="K26" s="286"/>
      <c r="L26" s="116">
        <v>3885529</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14654798</v>
      </c>
      <c r="H27" s="290"/>
      <c r="I27" s="286"/>
      <c r="J27" s="286"/>
      <c r="K27" s="286"/>
      <c r="L27" s="116">
        <v>6713639</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10413029</v>
      </c>
      <c r="H28" s="290"/>
      <c r="I28" s="286"/>
      <c r="J28" s="286"/>
      <c r="K28" s="286"/>
      <c r="L28" s="116">
        <v>3885529</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10413029</v>
      </c>
      <c r="H29" s="290"/>
      <c r="I29" s="286"/>
      <c r="J29" s="286"/>
      <c r="K29" s="286"/>
      <c r="L29" s="116">
        <v>3885529</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35307774</v>
      </c>
      <c r="H30" s="290"/>
      <c r="I30" s="286"/>
      <c r="J30" s="286"/>
      <c r="K30" s="286"/>
      <c r="L30" s="116">
        <v>13933166</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10413029</v>
      </c>
      <c r="H31" s="290"/>
      <c r="I31" s="286"/>
      <c r="J31" s="286"/>
      <c r="K31" s="286"/>
      <c r="L31" s="116">
        <v>3885529</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35307774</v>
      </c>
      <c r="H32" s="290"/>
      <c r="I32" s="286"/>
      <c r="J32" s="286"/>
      <c r="K32" s="286"/>
      <c r="L32" s="116">
        <v>13933166</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0.8798630295979577</v>
      </c>
      <c r="H33" s="352"/>
      <c r="I33" s="353"/>
      <c r="J33" s="353"/>
      <c r="K33" s="353"/>
      <c r="L33" s="373">
        <v>0.79702316042168742</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-2016412</v>
      </c>
      <c r="H34" s="290"/>
      <c r="I34" s="286"/>
      <c r="J34" s="286"/>
      <c r="K34" s="286"/>
      <c r="L34" s="116">
        <v>-1719095</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-884715</v>
      </c>
      <c r="H35" s="290"/>
      <c r="I35" s="286"/>
      <c r="J35" s="286"/>
      <c r="K35" s="286"/>
      <c r="L35" s="116">
        <v>-14562</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14294</v>
      </c>
      <c r="D37" s="122">
        <v>14607</v>
      </c>
      <c r="E37" s="254">
        <v>11951</v>
      </c>
      <c r="F37" s="254">
        <v>40852</v>
      </c>
      <c r="G37" s="310"/>
      <c r="H37" s="121">
        <v>30112</v>
      </c>
      <c r="I37" s="122">
        <v>31485</v>
      </c>
      <c r="J37" s="254">
        <v>27822</v>
      </c>
      <c r="K37" s="254">
        <v>89419</v>
      </c>
      <c r="L37" s="310"/>
      <c r="M37" s="121">
        <v>98160</v>
      </c>
      <c r="N37" s="122">
        <v>95184</v>
      </c>
      <c r="O37" s="254">
        <v>99816</v>
      </c>
      <c r="P37" s="254">
        <v>293160</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91" t="s">
        <v>322</v>
      </c>
      <c r="C38" s="349"/>
      <c r="D38" s="350"/>
      <c r="E38" s="350"/>
      <c r="F38" s="265">
        <v>1.346368E-2</v>
      </c>
      <c r="G38" s="351"/>
      <c r="H38" s="349"/>
      <c r="I38" s="350"/>
      <c r="J38" s="350"/>
      <c r="K38" s="265">
        <v>0</v>
      </c>
      <c r="L38" s="351"/>
      <c r="M38" s="349"/>
      <c r="N38" s="350"/>
      <c r="O38" s="350"/>
      <c r="P38" s="265">
        <v>0</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7" t="s">
        <v>323</v>
      </c>
      <c r="C39" s="290"/>
      <c r="D39" s="286"/>
      <c r="E39" s="286"/>
      <c r="F39" s="110">
        <v>2300</v>
      </c>
      <c r="G39" s="309"/>
      <c r="H39" s="290"/>
      <c r="I39" s="286"/>
      <c r="J39" s="286"/>
      <c r="K39" s="110">
        <v>2300</v>
      </c>
      <c r="L39" s="309"/>
      <c r="M39" s="290"/>
      <c r="N39" s="286"/>
      <c r="O39" s="286"/>
      <c r="P39" s="110">
        <v>2300</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91" t="s">
        <v>325</v>
      </c>
      <c r="C41" s="290"/>
      <c r="D41" s="286"/>
      <c r="E41" s="286"/>
      <c r="F41" s="258">
        <v>1.346368E-2</v>
      </c>
      <c r="G41" s="309"/>
      <c r="H41" s="290"/>
      <c r="I41" s="286"/>
      <c r="J41" s="286"/>
      <c r="K41" s="258">
        <v>0</v>
      </c>
      <c r="L41" s="309"/>
      <c r="M41" s="290"/>
      <c r="N41" s="286"/>
      <c r="O41" s="286"/>
      <c r="P41" s="258">
        <v>0</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0.8963065359814808</v>
      </c>
      <c r="D44" s="258">
        <v>0.92024444548556583</v>
      </c>
      <c r="E44" s="379">
        <v>0.70537607864800023</v>
      </c>
      <c r="F44" s="379">
        <v>0.84623946313401133</v>
      </c>
      <c r="G44" s="309"/>
      <c r="H44" s="260">
        <v>0.88159507269764503</v>
      </c>
      <c r="I44" s="258">
        <v>0.83768006767929282</v>
      </c>
      <c r="J44" s="258">
        <v>0.75544524171997829</v>
      </c>
      <c r="K44" s="258">
        <v>0.82370142601508045</v>
      </c>
      <c r="L44" s="309"/>
      <c r="M44" s="260">
        <v>0.93842791186152119</v>
      </c>
      <c r="N44" s="258">
        <v>0.88400619253141333</v>
      </c>
      <c r="O44" s="258">
        <v>0.93523723125200964</v>
      </c>
      <c r="P44" s="258">
        <v>0.91930449346435883</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7" t="s">
        <v>330</v>
      </c>
      <c r="C46" s="290"/>
      <c r="D46" s="286"/>
      <c r="E46" s="286"/>
      <c r="F46" s="258">
        <v>1.346368E-2</v>
      </c>
      <c r="G46" s="309"/>
      <c r="H46" s="290"/>
      <c r="I46" s="286"/>
      <c r="J46" s="286"/>
      <c r="K46" s="258">
        <v>0</v>
      </c>
      <c r="L46" s="309"/>
      <c r="M46" s="290"/>
      <c r="N46" s="286"/>
      <c r="O46" s="286"/>
      <c r="P46" s="258">
        <v>0</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9" t="s">
        <v>329</v>
      </c>
      <c r="C47" s="290"/>
      <c r="D47" s="286"/>
      <c r="E47" s="286"/>
      <c r="F47" s="258">
        <v>0.85970314313401131</v>
      </c>
      <c r="G47" s="309"/>
      <c r="H47" s="290"/>
      <c r="I47" s="286"/>
      <c r="J47" s="286"/>
      <c r="K47" s="258">
        <v>0.82370142601508045</v>
      </c>
      <c r="L47" s="309"/>
      <c r="M47" s="290"/>
      <c r="N47" s="286"/>
      <c r="O47" s="286"/>
      <c r="P47" s="258">
        <v>0.91930449346435883</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2"/>
    </row>
    <row r="50" spans="1:40" s="9" customFormat="1" x14ac:dyDescent="0.2">
      <c r="A50" s="142"/>
      <c r="B50" s="197" t="s">
        <v>333</v>
      </c>
      <c r="C50" s="291"/>
      <c r="D50" s="287"/>
      <c r="E50" s="287"/>
      <c r="F50" s="258">
        <v>0.85970314313401131</v>
      </c>
      <c r="G50" s="309"/>
      <c r="H50" s="291"/>
      <c r="I50" s="287"/>
      <c r="J50" s="287"/>
      <c r="K50" s="258">
        <v>0.82370142601508045</v>
      </c>
      <c r="L50" s="309"/>
      <c r="M50" s="291"/>
      <c r="N50" s="287"/>
      <c r="O50" s="287"/>
      <c r="P50" s="258">
        <v>0.91930449346435883</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5" t="s">
        <v>334</v>
      </c>
      <c r="C51" s="290"/>
      <c r="D51" s="286"/>
      <c r="E51" s="286"/>
      <c r="F51" s="115">
        <v>50352965</v>
      </c>
      <c r="G51" s="309"/>
      <c r="H51" s="290"/>
      <c r="I51" s="286"/>
      <c r="J51" s="286"/>
      <c r="K51" s="115">
        <v>140974963</v>
      </c>
      <c r="L51" s="309"/>
      <c r="M51" s="290"/>
      <c r="N51" s="286"/>
      <c r="O51" s="286"/>
      <c r="P51" s="115">
        <v>442672473</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82" fitToWidth="2" orientation="portrait"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7229</v>
      </c>
      <c r="D4" s="149">
        <v>15016</v>
      </c>
      <c r="E4" s="149">
        <v>54640</v>
      </c>
      <c r="F4" s="149"/>
      <c r="G4" s="149"/>
      <c r="H4" s="149"/>
      <c r="I4" s="362"/>
      <c r="J4" s="362"/>
      <c r="K4" s="208"/>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row>
    <row r="12" spans="2:11" x14ac:dyDescent="0.2">
      <c r="B12" s="207" t="s">
        <v>93</v>
      </c>
      <c r="C12" s="109"/>
      <c r="D12" s="113"/>
      <c r="E12" s="113"/>
      <c r="F12" s="113"/>
      <c r="G12" s="113"/>
      <c r="H12" s="113"/>
      <c r="I12" s="309"/>
      <c r="J12" s="309"/>
      <c r="K12" s="364"/>
    </row>
    <row r="13" spans="2:11" x14ac:dyDescent="0.2">
      <c r="B13" s="207" t="s">
        <v>94</v>
      </c>
      <c r="C13" s="109"/>
      <c r="D13" s="113"/>
      <c r="E13" s="113"/>
      <c r="F13" s="113"/>
      <c r="G13" s="113"/>
      <c r="H13" s="113"/>
      <c r="I13" s="309"/>
      <c r="J13" s="309"/>
      <c r="K13" s="364"/>
    </row>
    <row r="14" spans="2:11" x14ac:dyDescent="0.2">
      <c r="B14" s="207" t="s">
        <v>95</v>
      </c>
      <c r="C14" s="109"/>
      <c r="D14" s="113"/>
      <c r="E14" s="113"/>
      <c r="F14" s="113"/>
      <c r="G14" s="113"/>
      <c r="H14" s="113"/>
      <c r="I14" s="309"/>
      <c r="J14" s="309"/>
      <c r="K14" s="364"/>
    </row>
    <row r="15" spans="2:11" ht="16.5" x14ac:dyDescent="0.25">
      <c r="B15" s="205" t="s">
        <v>350</v>
      </c>
      <c r="C15" s="70"/>
      <c r="D15" s="74"/>
      <c r="E15" s="74"/>
      <c r="F15" s="74"/>
      <c r="G15" s="74"/>
      <c r="H15" s="74"/>
      <c r="I15" s="74"/>
      <c r="J15" s="74"/>
      <c r="K15" s="264"/>
    </row>
    <row r="16" spans="2:11" s="5" customFormat="1" x14ac:dyDescent="0.2">
      <c r="B16" s="206" t="s">
        <v>206</v>
      </c>
      <c r="C16" s="117"/>
      <c r="D16" s="119"/>
      <c r="E16" s="119"/>
      <c r="F16" s="119"/>
      <c r="G16" s="119"/>
      <c r="H16" s="119"/>
      <c r="I16" s="310"/>
      <c r="J16" s="310"/>
      <c r="K16" s="363"/>
    </row>
    <row r="17" spans="2:12" s="5" customFormat="1" x14ac:dyDescent="0.2">
      <c r="B17" s="207" t="s">
        <v>203</v>
      </c>
      <c r="C17" s="109"/>
      <c r="D17" s="113"/>
      <c r="E17" s="113"/>
      <c r="F17" s="113"/>
      <c r="G17" s="113"/>
      <c r="H17" s="113"/>
      <c r="I17" s="309"/>
      <c r="J17" s="309"/>
      <c r="K17" s="364"/>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c r="D22" s="212"/>
      <c r="E22" s="212"/>
      <c r="F22" s="212"/>
      <c r="G22" s="212"/>
      <c r="H22" s="212"/>
      <c r="I22" s="357"/>
      <c r="J22" s="357"/>
      <c r="K22" s="366"/>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75" thickBot="1" x14ac:dyDescent="0.3">
      <c r="B4" s="269" t="s">
        <v>54</v>
      </c>
      <c r="C4" s="270"/>
      <c r="D4" s="271"/>
      <c r="E4" s="7"/>
    </row>
    <row r="5" spans="1:5" ht="35.25" customHeight="1" thickTop="1" x14ac:dyDescent="0.2">
      <c r="B5" s="380"/>
      <c r="C5" s="150"/>
      <c r="D5" s="219" t="s">
        <v>500</v>
      </c>
      <c r="E5" s="7"/>
    </row>
    <row r="6" spans="1:5" ht="35.25" customHeight="1" x14ac:dyDescent="0.2">
      <c r="B6" s="380"/>
      <c r="C6" s="150"/>
      <c r="D6" s="219" t="s">
        <v>501</v>
      </c>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75" thickBot="1" x14ac:dyDescent="0.3">
      <c r="B26" s="275" t="s">
        <v>67</v>
      </c>
      <c r="C26" s="276"/>
      <c r="D26" s="277"/>
      <c r="E26" s="7"/>
    </row>
    <row r="27" spans="2:5" ht="35.25" customHeight="1" thickTop="1" x14ac:dyDescent="0.2">
      <c r="B27" s="380"/>
      <c r="C27" s="150"/>
      <c r="D27" s="219" t="s">
        <v>502</v>
      </c>
      <c r="E27" s="7"/>
    </row>
    <row r="28" spans="2:5" ht="35.25" customHeight="1" x14ac:dyDescent="0.2">
      <c r="B28" s="219"/>
      <c r="C28" s="150"/>
      <c r="D28" s="221"/>
      <c r="E28" s="7"/>
    </row>
    <row r="29" spans="2:5" ht="35.25" customHeight="1" x14ac:dyDescent="0.2">
      <c r="B29" s="219"/>
      <c r="C29" s="150"/>
      <c r="D29" s="221"/>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75" thickBot="1" x14ac:dyDescent="0.3">
      <c r="B33" s="278" t="s">
        <v>68</v>
      </c>
      <c r="C33" s="279"/>
      <c r="D33" s="280"/>
      <c r="E33" s="7"/>
    </row>
    <row r="34" spans="2:5" ht="35.25" customHeight="1" thickTop="1" x14ac:dyDescent="0.2">
      <c r="B34" s="380"/>
      <c r="C34" s="150"/>
      <c r="D34" s="219" t="s">
        <v>502</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221"/>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75" thickBot="1" x14ac:dyDescent="0.3">
      <c r="B47" s="278" t="s">
        <v>69</v>
      </c>
      <c r="C47" s="279"/>
      <c r="D47" s="280"/>
      <c r="E47" s="7"/>
    </row>
    <row r="48" spans="2:5" ht="35.25" customHeight="1" thickTop="1" x14ac:dyDescent="0.2">
      <c r="B48" s="380"/>
      <c r="C48" s="150"/>
      <c r="D48" s="219" t="s">
        <v>502</v>
      </c>
      <c r="E48" s="7"/>
    </row>
    <row r="49" spans="2:5" ht="35.25" customHeight="1" x14ac:dyDescent="0.2">
      <c r="B49" s="219"/>
      <c r="C49" s="150"/>
      <c r="D49" s="221"/>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75" thickBot="1" x14ac:dyDescent="0.3">
      <c r="B55" s="275" t="s">
        <v>127</v>
      </c>
      <c r="C55" s="276"/>
      <c r="D55" s="277"/>
      <c r="E55" s="7"/>
    </row>
    <row r="56" spans="2:5" ht="35.25" customHeight="1" thickTop="1" x14ac:dyDescent="0.2">
      <c r="B56" s="380"/>
      <c r="C56" s="152"/>
      <c r="D56" s="219" t="s">
        <v>503</v>
      </c>
      <c r="E56" s="7"/>
    </row>
    <row r="57" spans="2:5" ht="35.25" customHeight="1" x14ac:dyDescent="0.2">
      <c r="B57" s="219"/>
      <c r="C57" s="152"/>
      <c r="D57" s="221"/>
      <c r="E57" s="7"/>
    </row>
    <row r="58" spans="2:5" ht="35.25" customHeight="1" x14ac:dyDescent="0.2">
      <c r="B58" s="219"/>
      <c r="C58" s="152"/>
      <c r="D58" s="221"/>
      <c r="E58" s="7"/>
    </row>
    <row r="59" spans="2:5" ht="35.25" customHeight="1" x14ac:dyDescent="0.2">
      <c r="B59" s="219"/>
      <c r="C59" s="152"/>
      <c r="D59" s="221"/>
      <c r="E59" s="7"/>
    </row>
    <row r="60" spans="2:5" ht="35.25" customHeight="1" x14ac:dyDescent="0.2">
      <c r="B60" s="219"/>
      <c r="C60" s="152"/>
      <c r="D60" s="221"/>
      <c r="E60" s="7"/>
    </row>
    <row r="61" spans="2:5" ht="35.25" customHeight="1" x14ac:dyDescent="0.2">
      <c r="B61" s="219"/>
      <c r="C61" s="152"/>
      <c r="D61" s="221"/>
      <c r="E61" s="7"/>
    </row>
    <row r="62" spans="2:5" ht="35.25" customHeight="1" x14ac:dyDescent="0.2">
      <c r="B62" s="219"/>
      <c r="C62" s="152"/>
      <c r="D62" s="221"/>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75" thickBot="1" x14ac:dyDescent="0.3">
      <c r="B66" s="278" t="s">
        <v>113</v>
      </c>
      <c r="C66" s="279"/>
      <c r="D66" s="280"/>
      <c r="E66" s="7"/>
    </row>
    <row r="67" spans="2:5" ht="35.25" customHeight="1" thickTop="1" x14ac:dyDescent="0.2">
      <c r="B67" s="380"/>
      <c r="C67" s="152"/>
      <c r="D67" s="219" t="s">
        <v>503</v>
      </c>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75" thickBot="1" x14ac:dyDescent="0.3">
      <c r="B77" s="278" t="s">
        <v>70</v>
      </c>
      <c r="C77" s="279"/>
      <c r="D77" s="280"/>
      <c r="E77" s="7"/>
    </row>
    <row r="78" spans="2:5" ht="35.25" customHeight="1" thickTop="1" x14ac:dyDescent="0.2">
      <c r="B78" s="380"/>
      <c r="C78" s="152"/>
      <c r="D78" s="219" t="s">
        <v>503</v>
      </c>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75" thickBot="1" x14ac:dyDescent="0.3">
      <c r="B88" s="278" t="s">
        <v>71</v>
      </c>
      <c r="C88" s="279"/>
      <c r="D88" s="280"/>
      <c r="E88" s="7"/>
    </row>
    <row r="89" spans="2:5" ht="35.25" customHeight="1" thickTop="1" x14ac:dyDescent="0.2">
      <c r="B89" s="380"/>
      <c r="C89" s="152"/>
      <c r="D89" s="219" t="s">
        <v>503</v>
      </c>
      <c r="E89" s="7"/>
    </row>
    <row r="90" spans="2:5" ht="35.25" customHeight="1" x14ac:dyDescent="0.2">
      <c r="B90" s="219"/>
      <c r="C90" s="152"/>
      <c r="D90" s="221"/>
      <c r="E90" s="7"/>
    </row>
    <row r="91" spans="2:5" ht="35.25" customHeight="1" x14ac:dyDescent="0.2">
      <c r="B91" s="219"/>
      <c r="C91" s="152"/>
      <c r="D91" s="221"/>
      <c r="E91" s="7"/>
    </row>
    <row r="92" spans="2:5" ht="35.25" customHeight="1" x14ac:dyDescent="0.2">
      <c r="B92" s="219"/>
      <c r="C92" s="152"/>
      <c r="D92" s="221"/>
      <c r="E92" s="7"/>
    </row>
    <row r="93" spans="2:5" ht="35.25" customHeight="1" x14ac:dyDescent="0.2">
      <c r="B93" s="219"/>
      <c r="C93" s="152"/>
      <c r="D93" s="221"/>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75" thickBot="1" x14ac:dyDescent="0.3">
      <c r="B99" s="278" t="s">
        <v>199</v>
      </c>
      <c r="C99" s="279"/>
      <c r="D99" s="280"/>
      <c r="E99" s="7"/>
    </row>
    <row r="100" spans="2:5" ht="35.25" customHeight="1" thickTop="1" x14ac:dyDescent="0.2">
      <c r="B100" s="380"/>
      <c r="C100" s="152"/>
      <c r="D100" s="219" t="s">
        <v>503</v>
      </c>
      <c r="E100" s="7"/>
    </row>
    <row r="101" spans="2:5" ht="35.25" customHeight="1" x14ac:dyDescent="0.2">
      <c r="B101" s="219"/>
      <c r="C101" s="152"/>
      <c r="D101" s="221"/>
      <c r="E101" s="7"/>
    </row>
    <row r="102" spans="2:5" ht="35.25" customHeight="1" x14ac:dyDescent="0.2">
      <c r="B102" s="219"/>
      <c r="C102" s="152"/>
      <c r="D102" s="221"/>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221"/>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75" thickBot="1" x14ac:dyDescent="0.3">
      <c r="B122" s="278" t="s">
        <v>72</v>
      </c>
      <c r="C122" s="279"/>
      <c r="D122" s="280"/>
      <c r="E122" s="7"/>
    </row>
    <row r="123" spans="2:5" ht="35.25" customHeight="1" thickTop="1" x14ac:dyDescent="0.2">
      <c r="B123" s="380"/>
      <c r="C123" s="150"/>
      <c r="D123" s="219" t="s">
        <v>504</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75" thickBot="1" x14ac:dyDescent="0.3">
      <c r="B133" s="278" t="s">
        <v>73</v>
      </c>
      <c r="C133" s="279"/>
      <c r="D133" s="280"/>
      <c r="E133" s="7"/>
    </row>
    <row r="134" spans="2:5" s="5" customFormat="1" ht="35.25" customHeight="1" thickTop="1" x14ac:dyDescent="0.2">
      <c r="B134" s="381"/>
      <c r="C134" s="150"/>
      <c r="D134" s="219" t="s">
        <v>505</v>
      </c>
      <c r="E134" s="27"/>
    </row>
    <row r="135" spans="2:5" s="5" customFormat="1" ht="35.25" customHeight="1" x14ac:dyDescent="0.2">
      <c r="B135" s="219"/>
      <c r="C135" s="150"/>
      <c r="D135" s="221"/>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75" thickBot="1" x14ac:dyDescent="0.3">
      <c r="B144" s="278" t="s">
        <v>74</v>
      </c>
      <c r="C144" s="279"/>
      <c r="D144" s="280"/>
      <c r="E144" s="7"/>
    </row>
    <row r="145" spans="2:5" s="5" customFormat="1" ht="35.25" customHeight="1" thickTop="1" x14ac:dyDescent="0.2">
      <c r="B145" s="381"/>
      <c r="C145" s="150"/>
      <c r="D145" s="219" t="s">
        <v>506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75" thickBot="1" x14ac:dyDescent="0.3">
      <c r="B155" s="278" t="s">
        <v>75</v>
      </c>
      <c r="C155" s="279"/>
      <c r="D155" s="280"/>
      <c r="E155" s="7"/>
    </row>
    <row r="156" spans="2:5" s="5" customFormat="1" ht="35.25" customHeight="1" thickTop="1" x14ac:dyDescent="0.2">
      <c r="B156" s="381"/>
      <c r="C156" s="150"/>
      <c r="D156" s="219" t="s">
        <v>507</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75" thickBot="1" x14ac:dyDescent="0.3">
      <c r="B166" s="278" t="s">
        <v>76</v>
      </c>
      <c r="C166" s="279"/>
      <c r="D166" s="280"/>
      <c r="E166" s="7"/>
    </row>
    <row r="167" spans="2:5" s="5" customFormat="1" ht="35.25" customHeight="1" thickTop="1" x14ac:dyDescent="0.2">
      <c r="B167" s="381"/>
      <c r="C167" s="150"/>
      <c r="D167" s="219" t="s">
        <v>502</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75" thickBot="1" x14ac:dyDescent="0.3">
      <c r="B177" s="278" t="s">
        <v>78</v>
      </c>
      <c r="C177" s="279"/>
      <c r="D177" s="280"/>
      <c r="E177" s="1"/>
    </row>
    <row r="178" spans="2:5" s="5" customFormat="1" ht="35.25" customHeight="1" thickTop="1" x14ac:dyDescent="0.2">
      <c r="B178" s="381"/>
      <c r="C178" s="150"/>
      <c r="D178" s="219" t="s">
        <v>505</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221"/>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221"/>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allowBlank="1" showInputMessage="1" showErrorMessage="1" prompt="Does not accept input from user" sqref="C4:C55 C121:C209"/>
    <dataValidation showInputMessage="1" showErrorMessage="1" prompt="Accepts input from user" sqref="D111:D120 B7:B24 B28:B32 B41:B46 D41:D46 B35:B39 D200:D209 B49:B53 B57:B65 B68:B76 B79:B87 B90:B98 B101:B109 B124:B132 B135:B143 B146:B154 B157:B165 B168:B176 B189:B198 D189:D198 B200:B209 B111:B120 D5:D24 D27:D32 D34:D39 D48:D53 D56:D65 D67:D76 D78:D87 D89:D98 D100:D109 D123:D132 D134:D143 D145:D154 D156:D165 D167:D176 D178:D187 B179:B187"/>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!Coakley, Tony</cp:lastModifiedBy>
  <cp:lastPrinted>2015-08-04T15:44:34Z</cp:lastPrinted>
  <dcterms:created xsi:type="dcterms:W3CDTF">2012-03-15T16:14:51Z</dcterms:created>
  <dcterms:modified xsi:type="dcterms:W3CDTF">2015-08-05T00:03:33Z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