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15" windowWidth="11325" windowHeight="1171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Q31" i="4" l="1"/>
  <c r="P31" i="4"/>
  <c r="O31" i="4"/>
  <c r="K31" i="4"/>
  <c r="J31" i="4"/>
  <c r="K5" i="4"/>
  <c r="P51" i="10" l="1"/>
  <c r="P37" i="10"/>
  <c r="O37" i="10"/>
  <c r="P17" i="10"/>
  <c r="O17" i="10"/>
  <c r="P16" i="10"/>
  <c r="O16" i="10"/>
  <c r="P15" i="10"/>
  <c r="O15" i="10"/>
  <c r="P12" i="10"/>
  <c r="O12" i="10"/>
  <c r="P7" i="10"/>
  <c r="O7" i="10"/>
  <c r="P6" i="10"/>
  <c r="O6" i="10"/>
  <c r="K51" i="10"/>
  <c r="K37" i="10"/>
  <c r="J37" i="10"/>
  <c r="L34" i="10"/>
  <c r="L32" i="10"/>
  <c r="L31" i="10"/>
  <c r="L30" i="10"/>
  <c r="L29" i="10"/>
  <c r="L28" i="10"/>
  <c r="L27" i="10"/>
  <c r="L26" i="10"/>
  <c r="L25" i="10"/>
  <c r="L24" i="10"/>
  <c r="L23" i="10"/>
  <c r="L20" i="10"/>
  <c r="L19" i="10"/>
  <c r="K17" i="10"/>
  <c r="J17" i="10"/>
  <c r="L16" i="10"/>
  <c r="K16" i="10"/>
  <c r="J16" i="10"/>
  <c r="L15" i="10"/>
  <c r="K15" i="10"/>
  <c r="J15" i="10"/>
  <c r="K12" i="10"/>
  <c r="J12" i="10"/>
  <c r="L7" i="10"/>
  <c r="K7" i="10"/>
  <c r="J7" i="10"/>
  <c r="L6" i="10"/>
  <c r="K6" i="10"/>
  <c r="J6" i="10"/>
  <c r="F6" i="10"/>
  <c r="E6" i="10"/>
  <c r="F7" i="10"/>
  <c r="F12" i="10"/>
  <c r="E12" i="10"/>
  <c r="F15" i="10"/>
  <c r="E15" i="10"/>
  <c r="F16" i="10"/>
  <c r="E16" i="10"/>
  <c r="F17" i="10"/>
  <c r="E17" i="10"/>
  <c r="AV30" i="4"/>
  <c r="AV25" i="4"/>
  <c r="Q25" i="4"/>
  <c r="P25" i="4"/>
  <c r="O25" i="4"/>
  <c r="K25" i="4"/>
  <c r="J25" i="4"/>
  <c r="D31" i="4"/>
  <c r="E25" i="4"/>
  <c r="D25" i="4"/>
  <c r="E5" i="4"/>
  <c r="P26" i="18" l="1"/>
  <c r="P47" i="18" l="1"/>
  <c r="P46" i="18"/>
  <c r="P45" i="18" l="1"/>
  <c r="P28" i="18" l="1"/>
  <c r="P23" i="18" l="1"/>
  <c r="J59" i="4" l="1"/>
  <c r="Q51" i="4" l="1"/>
  <c r="P51" i="4"/>
  <c r="Q30" i="4" l="1"/>
  <c r="AV28" i="4" l="1"/>
  <c r="O12" i="4" l="1"/>
  <c r="P5" i="4" l="1"/>
  <c r="I37" i="10" l="1"/>
  <c r="H37" i="10"/>
  <c r="N37" i="10"/>
  <c r="M37" i="10"/>
  <c r="N17" i="10"/>
  <c r="N16" i="10"/>
  <c r="N15" i="10"/>
  <c r="M17" i="10"/>
  <c r="M16" i="10"/>
  <c r="M15" i="10"/>
  <c r="N12" i="10"/>
  <c r="M12" i="10"/>
  <c r="N7" i="10"/>
  <c r="M7" i="10"/>
  <c r="N6" i="10"/>
  <c r="M6" i="10"/>
  <c r="N5" i="10"/>
  <c r="M5" i="10"/>
  <c r="I17" i="10"/>
  <c r="H17" i="10"/>
  <c r="I16" i="10"/>
  <c r="H16" i="10"/>
  <c r="I15" i="10"/>
  <c r="H15" i="10"/>
  <c r="I12" i="10"/>
  <c r="H12" i="10"/>
  <c r="I7" i="10"/>
  <c r="H7" i="10"/>
  <c r="I6" i="10"/>
  <c r="H6" i="10"/>
  <c r="I5" i="10"/>
  <c r="H5" i="10"/>
  <c r="Q57" i="18" l="1"/>
  <c r="Q56" i="18"/>
  <c r="Q55" i="18"/>
  <c r="Q54" i="18"/>
  <c r="Q53" i="18"/>
  <c r="Q49" i="18"/>
  <c r="Q45" i="18"/>
  <c r="Q27" i="18"/>
  <c r="P49" i="18"/>
  <c r="P53" i="18"/>
  <c r="P54" i="18"/>
  <c r="P55" i="18"/>
  <c r="P56" i="18"/>
  <c r="Q24" i="18"/>
  <c r="Q6" i="18"/>
  <c r="Q5" i="18"/>
  <c r="P57" i="18"/>
  <c r="P50" i="18"/>
  <c r="P6" i="18"/>
  <c r="P5" i="18"/>
  <c r="K57" i="18"/>
  <c r="J57" i="18"/>
  <c r="K56" i="18"/>
  <c r="J56" i="18"/>
  <c r="K55" i="18"/>
  <c r="J55" i="18"/>
  <c r="K54" i="18"/>
  <c r="J54" i="18"/>
  <c r="K53" i="18"/>
  <c r="J53" i="18"/>
  <c r="J50" i="18"/>
  <c r="K49" i="18"/>
  <c r="J49" i="18"/>
  <c r="K45" i="18"/>
  <c r="J47" i="18"/>
  <c r="J46" i="18"/>
  <c r="J45" i="18"/>
  <c r="J28" i="18"/>
  <c r="K27" i="18"/>
  <c r="J26" i="18"/>
  <c r="K24" i="18"/>
  <c r="J23" i="18"/>
  <c r="K6" i="18"/>
  <c r="J6" i="18"/>
  <c r="K5" i="18"/>
  <c r="J5" i="18"/>
</calcChain>
</file>

<file path=xl/sharedStrings.xml><?xml version="1.0" encoding="utf-8"?>
<sst xmlns="http://schemas.openxmlformats.org/spreadsheetml/2006/main" count="701" uniqueCount="583">
  <si>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</si>
  <si>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</si>
  <si>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</si>
  <si>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</si>
  <si>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</si>
  <si>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</si>
  <si>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</si>
  <si>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</si>
  <si>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</si>
  <si>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</si>
  <si>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</si>
  <si>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</si>
  <si>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</si>
  <si>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</si>
  <si>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</si>
  <si>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</si>
  <si>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</si>
  <si>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</si>
  <si>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</si>
  <si>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</si>
  <si>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</si>
  <si>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</si>
  <si>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</si>
  <si>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</si>
  <si>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</si>
  <si>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</si>
  <si>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</si>
  <si>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</si>
  <si>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</si>
  <si>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</si>
  <si>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</si>
  <si>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</si>
  <si>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</si>
  <si>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</si>
  <si>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</si>
  <si>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</si>
  <si>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</si>
  <si>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</si>
  <si>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</si>
  <si>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</si>
  <si>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</si>
  <si>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</si>
  <si>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</si>
  <si>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</si>
  <si>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</si>
  <si>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</si>
  <si>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</si>
  <si>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</si>
  <si>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</si>
  <si>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</si>
  <si>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</si>
  <si>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</si>
  <si>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</si>
  <si>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</si>
  <si>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</si>
  <si>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</si>
  <si>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</si>
  <si>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</si>
  <si>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</si>
  <si>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</si>
  <si>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</si>
  <si>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</si>
  <si>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</si>
  <si>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</si>
  <si>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</si>
  <si>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</si>
  <si>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</si>
  <si>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</si>
  <si>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</si>
  <si>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</si>
  <si>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</si>
  <si>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</si>
  <si>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</si>
  <si>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</si>
  <si>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</si>
  <si>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</si>
  <si>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</si>
  <si>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</si>
  <si>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</si>
  <si>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</si>
  <si>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</si>
  <si>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</si>
  <si>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</si>
  <si>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</si>
  <si>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</si>
  <si>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</si>
  <si>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</si>
  <si>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</si>
  <si>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</si>
  <si>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</si>
  <si>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</si>
  <si>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</si>
  <si>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</si>
  <si>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</si>
  <si>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</si>
  <si>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</si>
  <si>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</si>
  <si>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</si>
  <si>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</si>
  <si>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</si>
  <si>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</si>
  <si>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</si>
  <si>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</si>
  <si>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</si>
  <si>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</si>
  <si>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</si>
  <si>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</si>
  <si>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</si>
  <si>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</si>
  <si>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</si>
  <si>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</si>
  <si>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</si>
  <si>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</si>
  <si>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</si>
  <si>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</si>
  <si>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</si>
  <si>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</si>
  <si>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</si>
  <si>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</si>
  <si>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</si>
  <si>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</si>
  <si>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</si>
  <si>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</si>
  <si>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</si>
  <si>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</si>
  <si>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</si>
  <si>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</si>
  <si>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</si>
  <si>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</si>
  <si>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</si>
  <si>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</si>
  <si>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</si>
  <si>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</si>
  <si>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</si>
  <si>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</si>
  <si>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</si>
  <si>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</si>
  <si>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</si>
  <si>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</si>
  <si>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</si>
  <si>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</si>
  <si>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</si>
  <si>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</si>
  <si>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</si>
  <si>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</si>
  <si>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</si>
  <si>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</si>
  <si>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</si>
  <si>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</si>
  <si>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</si>
  <si>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</si>
  <si>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</si>
  <si>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</si>
  <si>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</si>
  <si>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</si>
  <si>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</si>
  <si>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</si>
  <si>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</si>
  <si>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</si>
  <si>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</si>
  <si>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</si>
  <si>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</si>
  <si>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</si>
  <si>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</si>
  <si>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</si>
  <si>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</si>
  <si>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</si>
  <si>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</si>
  <si>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</si>
  <si>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</si>
  <si>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</si>
  <si>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</si>
  <si>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</si>
  <si>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</si>
  <si>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</si>
  <si>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</si>
  <si>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</si>
  <si>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</si>
  <si>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</si>
  <si>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</si>
  <si>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</si>
  <si>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</si>
  <si>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</si>
  <si>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</si>
  <si>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</si>
  <si>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</si>
  <si>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</si>
  <si>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</si>
  <si>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</si>
  <si>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</si>
  <si>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</si>
  <si>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</si>
  <si>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</si>
  <si>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</si>
  <si>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</si>
  <si>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</si>
  <si>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</si>
  <si>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</si>
  <si>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</si>
  <si>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</si>
  <si>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</si>
  <si>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</si>
  <si>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</si>
  <si>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</si>
  <si>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</si>
  <si>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</si>
  <si>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</si>
  <si>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</si>
  <si>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</si>
  <si>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</si>
  <si>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</si>
  <si>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</si>
  <si>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</si>
  <si>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</si>
  <si>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</si>
  <si>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</si>
  <si>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</si>
  <si>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</si>
  <si>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</si>
  <si>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</si>
  <si>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</si>
  <si>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</si>
  <si>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</si>
  <si>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</si>
  <si>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</si>
  <si>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</si>
  <si>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</si>
  <si>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</si>
  <si>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</si>
  <si>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</si>
  <si>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</si>
  <si>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</si>
  <si>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</si>
  <si>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</si>
  <si>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</si>
  <si>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</si>
  <si>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</si>
  <si>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</si>
  <si>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</si>
  <si>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</si>
  <si>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</si>
  <si>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</si>
  <si>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</si>
  <si>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</si>
  <si>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</si>
  <si>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</si>
  <si>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</si>
  <si>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</si>
  <si>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</si>
  <si>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</si>
  <si>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</si>
  <si>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</si>
  <si>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</si>
  <si>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</si>
  <si>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</si>
  <si>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</si>
  <si>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</si>
  <si>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</si>
  <si>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</si>
  <si>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</si>
  <si>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</si>
  <si>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</si>
  <si>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</si>
  <si>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</si>
  <si>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</si>
  <si>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</si>
  <si>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</si>
  <si>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</si>
  <si>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</si>
  <si>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</si>
  <si>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</si>
  <si>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</si>
  <si>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</si>
  <si>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</si>
  <si>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</si>
  <si>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</si>
  <si>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</si>
  <si>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</si>
  <si>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</si>
  <si>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</si>
  <si>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</si>
  <si>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</si>
  <si>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</si>
  <si>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</si>
  <si>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</si>
  <si>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</si>
  <si>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</si>
  <si>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</si>
  <si>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</si>
  <si>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</si>
  <si>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</si>
  <si>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</si>
  <si>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</si>
  <si>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</si>
  <si>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</si>
  <si>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</si>
  <si>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</si>
  <si>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</si>
  <si>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</si>
  <si>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</si>
  <si>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</si>
  <si>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</si>
  <si>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</si>
  <si>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</si>
  <si>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</si>
  <si>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</si>
  <si>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</si>
  <si>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</si>
  <si>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</si>
  <si>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</si>
  <si>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</si>
  <si>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</si>
  <si>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</si>
  <si>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</si>
  <si>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</si>
  <si>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</si>
  <si>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</si>
  <si>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</si>
  <si>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</si>
  <si>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</si>
  <si>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</si>
  <si>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</si>
  <si>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</si>
  <si>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</si>
  <si>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</si>
  <si>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</si>
  <si>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</si>
  <si>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</si>
  <si>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</si>
  <si>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</si>
  <si>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</si>
  <si>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</si>
  <si>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</si>
  <si>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</si>
  <si>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</si>
  <si>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</si>
  <si>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</si>
  <si>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</si>
  <si>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</si>
  <si>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</si>
  <si>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</si>
  <si>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</si>
  <si>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</si>
  <si>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</si>
  <si>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</si>
  <si>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</si>
  <si>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</si>
  <si>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</si>
  <si>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</si>
  <si>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</si>
  <si>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</si>
  <si>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</si>
  <si>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</si>
  <si>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</si>
  <si>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</si>
  <si>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</si>
  <si>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</si>
  <si>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</si>
  <si>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</si>
  <si>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</si>
  <si>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</si>
  <si>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</si>
  <si>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</si>
  <si>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</si>
  <si>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</si>
  <si>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</si>
  <si>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</si>
  <si>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</si>
  <si>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</si>
  <si>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</si>
  <si>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</si>
  <si>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</si>
  <si>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</si>
  <si>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</si>
  <si>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</si>
  <si>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</si>
  <si>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</si>
  <si>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</si>
  <si>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</si>
  <si>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</si>
  <si>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</si>
  <si>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</si>
  <si>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</si>
  <si>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</si>
  <si>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</si>
  <si>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</si>
  <si>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</si>
  <si>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</si>
  <si>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</si>
  <si>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</si>
  <si>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</si>
  <si>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</si>
  <si>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</si>
  <si>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</si>
  <si>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</si>
  <si>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</si>
  <si>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</si>
  <si>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</si>
  <si>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</si>
  <si>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</si>
  <si>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</si>
  <si>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</si>
  <si>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</si>
  <si>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</si>
  <si>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</si>
  <si>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</si>
  <si>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</si>
  <si>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</si>
  <si>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</si>
  <si>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</si>
  <si>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</si>
  <si>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</si>
  <si>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</si>
  <si>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</si>
  <si>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</si>
  <si>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</si>
  <si>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</si>
  <si>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</si>
  <si>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</si>
  <si>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</si>
  <si>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</si>
  <si>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</si>
  <si>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</si>
  <si>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</si>
  <si>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</si>
  <si>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</si>
  <si>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</si>
  <si>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</si>
  <si>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</si>
  <si>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</si>
  <si>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</si>
  <si>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</si>
  <si>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</si>
  <si>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</si>
  <si>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</si>
  <si>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</si>
  <si>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</si>
  <si>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</si>
  <si>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</si>
  <si>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</si>
  <si>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</si>
  <si>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</si>
  <si>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</si>
  <si>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</si>
  <si>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</si>
  <si>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</si>
  <si>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</si>
  <si>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</si>
  <si>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</si>
  <si>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</si>
  <si>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</si>
  <si>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</si>
  <si>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</si>
  <si>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</si>
  <si>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</si>
  <si>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</si>
  <si>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</si>
  <si>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</si>
  <si>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</si>
  <si>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</si>
  <si>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</si>
  <si>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</si>
  <si>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</si>
  <si>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</si>
  <si>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</si>
  <si>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</si>
  <si>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</si>
  <si>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</si>
  <si>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</si>
  <si>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</si>
  <si>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</si>
  <si>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</si>
  <si>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</si>
  <si>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</si>
  <si>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</si>
  <si>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</si>
  <si>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</si>
  <si>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</si>
  <si>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</si>
  <si>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</si>
  <si>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</si>
  <si>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</si>
  <si>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</si>
  <si>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</si>
  <si>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</si>
  <si>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</si>
  <si>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</si>
  <si>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</si>
  <si>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</si>
  <si>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</si>
  <si>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</si>
  <si>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</si>
  <si>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</si>
  <si>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</si>
  <si>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AmeriHealth HMO, Inc.</t>
  </si>
  <si>
    <t>Independence Health Group, Inc.</t>
  </si>
  <si>
    <t>00936</t>
  </si>
  <si>
    <t>2014</t>
  </si>
  <si>
    <t>1901 Market Street Philadelphia, PA 19103-1480</t>
  </si>
  <si>
    <t>232314460</t>
  </si>
  <si>
    <t>95044</t>
  </si>
  <si>
    <t>24</t>
  </si>
  <si>
    <t>Incurred Claims</t>
  </si>
  <si>
    <t>customer level.  Pharmacy rebates are allocated based on actual pharmacy claim costs.  Fraud reduction expenses are allocated</t>
  </si>
  <si>
    <t>based on member months.</t>
  </si>
  <si>
    <t>Federal Income Tax</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</si>
  <si>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</si>
  <si>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</si>
  <si>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</si>
  <si>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</si>
  <si>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</si>
  <si>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</si>
  <si>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</si>
  <si>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</si>
  <si>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</si>
  <si>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</si>
  <si>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Health Management:</t>
  </si>
  <si>
    <t>discharge planning), education and participation in self-management programs (Health Life Style Programs), quality reporting</t>
  </si>
  <si>
    <t>and documentation of care in non-electronic format (Regional Quality Management).</t>
  </si>
  <si>
    <t xml:space="preserve">These expenses are identified from various functional areas, special projects and direct vendors based on time effort spending </t>
  </si>
  <si>
    <t>on improving health outcomes.  These expenses are allocated to different commercial segments based on weighted member</t>
  </si>
  <si>
    <t>months.</t>
  </si>
  <si>
    <t>Preventative:</t>
  </si>
  <si>
    <t>The expenses reflected in this type are personalized post-discharge counseling by an appropriate health care professional</t>
  </si>
  <si>
    <t>(nurse/doctor care management) associated with authorizations for private duty nursing.</t>
  </si>
  <si>
    <t>These expenses are identified from various functional areas, special projects and direct vendors based on time effort spending</t>
  </si>
  <si>
    <t xml:space="preserve">on activities to prevent hospital readmission.  These expenses are allocated to different commercial segments based on weighted </t>
  </si>
  <si>
    <t>Safety improvements:</t>
  </si>
  <si>
    <t>The appropriate identification and use of best medical practices to avoid harm (example: preventative health), prospective</t>
  </si>
  <si>
    <t>prescription drug utilization review aimed at identifying potential adverse drug interactions, activities to identify and encourage</t>
  </si>
  <si>
    <t>evidence based on medicine in addressing independently identified and documented clinical errors of safety concerns</t>
  </si>
  <si>
    <t>(compliance, NCQA).</t>
  </si>
  <si>
    <t>on improving patient safety and reducing medical errors.  These expenses are allocated to different commerical segments based</t>
  </si>
  <si>
    <t>on weighted member months.</t>
  </si>
  <si>
    <t>Health/wellness:</t>
  </si>
  <si>
    <t xml:space="preserve">Some of the major expenses in this category are: Behavioral Health and Health Dialogue (provider of disease management and </t>
  </si>
  <si>
    <t>care enhancement services to our memebers).  In addition this category includes expenses related to wellness program activities</t>
  </si>
  <si>
    <t>These expenses are identified from various funtional areas, special projects and direct vendors based on time effort spending</t>
  </si>
  <si>
    <t>on wellness and health promotion activities.  These expenses are allocated to different commercial segments based on weighted</t>
  </si>
  <si>
    <t>Information technology:</t>
  </si>
  <si>
    <t xml:space="preserve">The expenses reflected in this category mainly related to the Business Technology and Informatics services.  Some of the </t>
  </si>
  <si>
    <t>expenses that are included from Informatics are the support for Quality Management initiatives, including Clinical Alerts, and</t>
  </si>
  <si>
    <t>measure quality.  The results are reported externally, so Plans try to improve the quality of care delivered.</t>
  </si>
  <si>
    <t>The Business Technology expenses are alloacated based on the following method:</t>
  </si>
  <si>
    <t>apps contribute to quality of care.  In order to quantify the amount of maintenance included in the calculation, a listing of all apps</t>
  </si>
  <si>
    <t>related to quality of care were obtained along with the hours dedicated during 2014 to maintenance on this app.  The total hours</t>
  </si>
  <si>
    <t>were divided by total maintenance hours to determine the percentage attributable to quality of care.</t>
  </si>
  <si>
    <t>These identified expenses are allocated to different commercial segments based on weighed member months.</t>
  </si>
  <si>
    <t>Allowable ICD-10 Expenses:</t>
  </si>
  <si>
    <t xml:space="preserve">These expenses are identified from ICD-10 project based on time effort spending on quality improvement.  These expenses are </t>
  </si>
  <si>
    <t>based on the weighted member months.</t>
  </si>
  <si>
    <t>Cost containment:</t>
  </si>
  <si>
    <t>further allocated based on the weighted member months.</t>
  </si>
  <si>
    <t>Claim adjustment:</t>
  </si>
  <si>
    <t>Salaries/benefits:</t>
  </si>
  <si>
    <t>Brokers commissions:</t>
  </si>
  <si>
    <t>Other taxes:</t>
  </si>
  <si>
    <t>Other G&amp;A:</t>
  </si>
  <si>
    <t>Community Expenses:</t>
  </si>
  <si>
    <t>ICD-10 Implementation Expenses:</t>
  </si>
  <si>
    <t>Incurred claims are allocated to each health insurance line of business based on actual claims paid and reserves at the</t>
  </si>
  <si>
    <t>current Federal Income Taxes calculated above are allocated to all lines of business based on their precentage of the total Net Underwriting Gain or (Loss).</t>
  </si>
  <si>
    <t>PCORI Fee:</t>
  </si>
  <si>
    <t>The PCORI Fee is allocated to all lines of business based on weighted member months</t>
  </si>
  <si>
    <t>Affordable Care Act Section 9010 Fee:</t>
  </si>
  <si>
    <t>The HIF is allocated based on Premium Income</t>
  </si>
  <si>
    <t>Other Federal Taxes and assessments:</t>
  </si>
  <si>
    <t>Other Federal Taxes and assessments (HCR Risk Adj, Rein Fee) are allocated to all lines of business based on the weighted member months.</t>
  </si>
  <si>
    <t>The amount of the Federal Income Tax adjustment is calculated as follows:                                                                                                        The current Federal Income Tax amount per SSAP 10R and SSAP 101 Stat Reporting is adjusted to exclude the impact of any MLR</t>
  </si>
  <si>
    <t>The expenses reflected in this type are related to managing/arranging the transitions from one setting to another (example:</t>
  </si>
  <si>
    <t>AmeriHealth Insurance Company of New Jersey</t>
  </si>
  <si>
    <t>Independence Hospital Indemnity Plan, Inc.</t>
  </si>
  <si>
    <t>QCC Insurance Company</t>
  </si>
  <si>
    <t>Keystone Health Plan East</t>
  </si>
  <si>
    <t>Quality Performance Measurement (QPM) for QIPS as well as HEDIS reporting and measures which are generally designed to</t>
  </si>
  <si>
    <t xml:space="preserve">allocated to the legal entity based on Stat reporting, and then the expenses for commercial segments are further allocated </t>
  </si>
  <si>
    <t>These expenses are allocated to the legal entity per the Stat reporting, and then the expenses for commercial segments are</t>
  </si>
  <si>
    <t>rebate amounts and the market value adjustment for transfer costs.  Next, taxes on investment income are excluded to get to the amount of adjusted current federal income taxes to be allocated by line of business (Individual, Small, Large, etc.).  The adjusted</t>
  </si>
  <si>
    <t>(wellness fairs, attending open season events at various groups and performing screenings).</t>
  </si>
  <si>
    <t>Business Technology Services (BTS) provides maintenance for all of AmeriHealth HMO, Inc.'s applications, some of these</t>
  </si>
  <si>
    <t/>
  </si>
  <si>
    <t xml:space="preserve">QCC Insurance Company </t>
  </si>
  <si>
    <t xml:space="preserve">AmeriHealth Insurance Company of New Jersey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</si>
</sst>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118920049</v>
      </c>
      <c r="E5" s="106">
        <f>98642745+56</f>
        <v>98642801</v>
      </c>
      <c r="F5" s="106">
        <v>0</v>
      </c>
      <c r="G5" s="106">
        <v>0</v>
      </c>
      <c r="H5" s="106">
        <v>0</v>
      </c>
      <c r="I5" s="105">
        <v>87465694</v>
      </c>
      <c r="J5" s="105">
        <v>211533913</v>
      </c>
      <c r="K5" s="106">
        <f>212079404+430153+3623806</f>
        <v>216133363</v>
      </c>
      <c r="L5" s="106">
        <v>-444312</v>
      </c>
      <c r="M5" s="106">
        <v>0</v>
      </c>
      <c r="N5" s="106">
        <v>0</v>
      </c>
      <c r="O5" s="105">
        <v>56689511</v>
      </c>
      <c r="P5" s="105">
        <f>1239557+67628099+13588073</f>
        <v>82455729</v>
      </c>
      <c r="Q5" s="106">
        <v>85639864</v>
      </c>
      <c r="R5" s="106">
        <v>-535865</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206737173</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-42519359</v>
      </c>
      <c r="E8" s="289"/>
      <c r="F8" s="290"/>
      <c r="G8" s="290"/>
      <c r="H8" s="290"/>
      <c r="I8" s="293"/>
      <c r="J8" s="109">
        <v>-92120520</v>
      </c>
      <c r="K8" s="289"/>
      <c r="L8" s="290"/>
      <c r="M8" s="290"/>
      <c r="N8" s="290"/>
      <c r="O8" s="293"/>
      <c r="P8" s="109">
        <v>-28328516</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-106718293</v>
      </c>
      <c r="AT8" s="113"/>
      <c r="AU8" s="113"/>
      <c r="AV8" s="311"/>
      <c r="AW8" s="318"/>
    </row>
    <row r="9" spans="1:49" x14ac:dyDescent="0.2">
      <c r="B9" s="155" t="s">
        <v>226</v>
      </c>
      <c r="C9" s="62" t="s">
        <v>60</v>
      </c>
      <c r="D9" s="109">
        <v>4434145</v>
      </c>
      <c r="E9" s="288"/>
      <c r="F9" s="291"/>
      <c r="G9" s="291"/>
      <c r="H9" s="291"/>
      <c r="I9" s="292"/>
      <c r="J9" s="109">
        <v>-120713</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82707662</v>
      </c>
      <c r="E12" s="106">
        <v>86780867</v>
      </c>
      <c r="F12" s="106">
        <v>0</v>
      </c>
      <c r="G12" s="106">
        <v>0</v>
      </c>
      <c r="H12" s="106">
        <v>0</v>
      </c>
      <c r="I12" s="105">
        <v>74100857</v>
      </c>
      <c r="J12" s="105">
        <v>180798636</v>
      </c>
      <c r="K12" s="106">
        <v>184743900</v>
      </c>
      <c r="L12" s="106">
        <v>114189</v>
      </c>
      <c r="M12" s="106">
        <v>0</v>
      </c>
      <c r="N12" s="106">
        <v>0</v>
      </c>
      <c r="O12" s="105">
        <f>1614023+42602275</f>
        <v>44216298</v>
      </c>
      <c r="P12" s="105">
        <v>68180301</v>
      </c>
      <c r="Q12" s="106">
        <v>68838121</v>
      </c>
      <c r="R12" s="106">
        <v>567770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14</v>
      </c>
      <c r="AP12" s="106">
        <v>0</v>
      </c>
      <c r="AQ12" s="106">
        <v>0</v>
      </c>
      <c r="AR12" s="106">
        <v>0</v>
      </c>
      <c r="AS12" s="105">
        <v>198501319</v>
      </c>
      <c r="AT12" s="107">
        <v>0</v>
      </c>
      <c r="AU12" s="107">
        <v>0</v>
      </c>
      <c r="AV12" s="312"/>
      <c r="AW12" s="317"/>
    </row>
    <row r="13" spans="1:49" ht="25.5" x14ac:dyDescent="0.2">
      <c r="B13" s="155" t="s">
        <v>230</v>
      </c>
      <c r="C13" s="62" t="s">
        <v>37</v>
      </c>
      <c r="D13" s="109">
        <v>598360</v>
      </c>
      <c r="E13" s="110">
        <v>598360</v>
      </c>
      <c r="F13" s="110"/>
      <c r="G13" s="289"/>
      <c r="H13" s="290"/>
      <c r="I13" s="109">
        <v>549892.84</v>
      </c>
      <c r="J13" s="109">
        <v>30120131</v>
      </c>
      <c r="K13" s="110">
        <v>30120131</v>
      </c>
      <c r="L13" s="110"/>
      <c r="M13" s="289"/>
      <c r="N13" s="290"/>
      <c r="O13" s="109">
        <v>7766977</v>
      </c>
      <c r="P13" s="109">
        <v>7001384</v>
      </c>
      <c r="Q13" s="110">
        <v>7001384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16660922</v>
      </c>
      <c r="AT13" s="113"/>
      <c r="AU13" s="113"/>
      <c r="AV13" s="311"/>
      <c r="AW13" s="318"/>
    </row>
    <row r="14" spans="1:49" ht="25.5" x14ac:dyDescent="0.2">
      <c r="B14" s="155" t="s">
        <v>231</v>
      </c>
      <c r="C14" s="62" t="s">
        <v>6</v>
      </c>
      <c r="D14" s="109">
        <v>59441</v>
      </c>
      <c r="E14" s="110">
        <v>59441</v>
      </c>
      <c r="F14" s="110"/>
      <c r="G14" s="288"/>
      <c r="H14" s="291"/>
      <c r="I14" s="109">
        <v>54626.279000000002</v>
      </c>
      <c r="J14" s="109">
        <v>2988887</v>
      </c>
      <c r="K14" s="110">
        <v>2988887</v>
      </c>
      <c r="L14" s="110"/>
      <c r="M14" s="288"/>
      <c r="N14" s="291"/>
      <c r="O14" s="109">
        <v>770111</v>
      </c>
      <c r="P14" s="109">
        <v>685728</v>
      </c>
      <c r="Q14" s="110">
        <v>685728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1683657</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-42672212</v>
      </c>
      <c r="E16" s="289"/>
      <c r="F16" s="290"/>
      <c r="G16" s="291"/>
      <c r="H16" s="291"/>
      <c r="I16" s="293"/>
      <c r="J16" s="109">
        <v>-74687301</v>
      </c>
      <c r="K16" s="289"/>
      <c r="L16" s="290"/>
      <c r="M16" s="291"/>
      <c r="N16" s="291"/>
      <c r="O16" s="293"/>
      <c r="P16" s="109">
        <v>-25959902</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-107456064</v>
      </c>
      <c r="AT16" s="113"/>
      <c r="AU16" s="113"/>
      <c r="AV16" s="311"/>
      <c r="AW16" s="318"/>
    </row>
    <row r="17" spans="1:49" x14ac:dyDescent="0.2">
      <c r="B17" s="155" t="s">
        <v>234</v>
      </c>
      <c r="C17" s="62" t="s">
        <v>62</v>
      </c>
      <c r="D17" s="109"/>
      <c r="E17" s="288"/>
      <c r="F17" s="291"/>
      <c r="G17" s="291"/>
      <c r="H17" s="291"/>
      <c r="I17" s="292"/>
      <c r="J17" s="109">
        <v>-630653</v>
      </c>
      <c r="K17" s="288"/>
      <c r="L17" s="291"/>
      <c r="M17" s="291"/>
      <c r="N17" s="291"/>
      <c r="O17" s="292"/>
      <c r="P17" s="109">
        <v>-2224286</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v>79287</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v>200000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4434145</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65062</v>
      </c>
      <c r="E22" s="115">
        <v>65062</v>
      </c>
      <c r="F22" s="115">
        <v>0</v>
      </c>
      <c r="G22" s="115">
        <v>0</v>
      </c>
      <c r="H22" s="115">
        <v>0</v>
      </c>
      <c r="I22" s="114">
        <v>0</v>
      </c>
      <c r="J22" s="114">
        <v>130945</v>
      </c>
      <c r="K22" s="115">
        <v>130945</v>
      </c>
      <c r="L22" s="115">
        <v>0</v>
      </c>
      <c r="M22" s="115">
        <v>0</v>
      </c>
      <c r="N22" s="115">
        <v>0</v>
      </c>
      <c r="O22" s="114">
        <v>0</v>
      </c>
      <c r="P22" s="114">
        <v>43381</v>
      </c>
      <c r="Q22" s="115">
        <v>43381</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3164</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f>6313774-668</f>
        <v>6313106</v>
      </c>
      <c r="E25" s="110">
        <f>6313774-668</f>
        <v>6313106</v>
      </c>
      <c r="F25" s="110"/>
      <c r="G25" s="110"/>
      <c r="H25" s="110"/>
      <c r="I25" s="109">
        <v>-3984086</v>
      </c>
      <c r="J25" s="109">
        <f>347132-6287533-6600</f>
        <v>-5947001</v>
      </c>
      <c r="K25" s="110">
        <f>347132-6287533-26653</f>
        <v>-5967054</v>
      </c>
      <c r="L25" s="110"/>
      <c r="M25" s="110"/>
      <c r="N25" s="110"/>
      <c r="O25" s="109">
        <f>1711976+53992</f>
        <v>1765968</v>
      </c>
      <c r="P25" s="109">
        <f>-150640+1147225+92600</f>
        <v>1089185</v>
      </c>
      <c r="Q25" s="110">
        <f>-150640+1147225+112653</f>
        <v>1109238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-4</v>
      </c>
      <c r="AO25" s="110">
        <v>-4</v>
      </c>
      <c r="AP25" s="110"/>
      <c r="AQ25" s="110"/>
      <c r="AR25" s="110"/>
      <c r="AS25" s="109">
        <v>-4310150</v>
      </c>
      <c r="AT25" s="113"/>
      <c r="AU25" s="113"/>
      <c r="AV25" s="113">
        <f>29188+4060684-152000</f>
        <v>3937872</v>
      </c>
      <c r="AW25" s="318"/>
    </row>
    <row r="26" spans="1:49" s="5" customFormat="1" x14ac:dyDescent="0.2">
      <c r="A26" s="35"/>
      <c r="B26" s="158" t="s">
        <v>243</v>
      </c>
      <c r="C26" s="62"/>
      <c r="D26" s="109">
        <v>34866</v>
      </c>
      <c r="E26" s="110">
        <v>34866</v>
      </c>
      <c r="F26" s="110"/>
      <c r="G26" s="110"/>
      <c r="H26" s="110"/>
      <c r="I26" s="109">
        <v>34866</v>
      </c>
      <c r="J26" s="109">
        <v>76574</v>
      </c>
      <c r="K26" s="110">
        <v>76574</v>
      </c>
      <c r="L26" s="110"/>
      <c r="M26" s="110"/>
      <c r="N26" s="110"/>
      <c r="O26" s="109">
        <v>23306</v>
      </c>
      <c r="P26" s="109">
        <v>26377</v>
      </c>
      <c r="Q26" s="110">
        <v>26377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37412</v>
      </c>
      <c r="AT26" s="113"/>
      <c r="AU26" s="113"/>
      <c r="AV26" s="113">
        <v>7755</v>
      </c>
      <c r="AW26" s="318"/>
    </row>
    <row r="27" spans="1:49" s="5" customFormat="1" x14ac:dyDescent="0.2">
      <c r="B27" s="158" t="s">
        <v>244</v>
      </c>
      <c r="C27" s="62"/>
      <c r="D27" s="109">
        <v>954118</v>
      </c>
      <c r="E27" s="110">
        <v>954118</v>
      </c>
      <c r="F27" s="110"/>
      <c r="G27" s="110"/>
      <c r="H27" s="110"/>
      <c r="I27" s="109">
        <v>869978</v>
      </c>
      <c r="J27" s="109">
        <v>1986184</v>
      </c>
      <c r="K27" s="110">
        <v>1986184</v>
      </c>
      <c r="L27" s="110"/>
      <c r="M27" s="110"/>
      <c r="N27" s="110"/>
      <c r="O27" s="109">
        <v>719129</v>
      </c>
      <c r="P27" s="109">
        <v>896100</v>
      </c>
      <c r="Q27" s="110">
        <v>896100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1921741</v>
      </c>
      <c r="AT27" s="113"/>
      <c r="AU27" s="113"/>
      <c r="AV27" s="314"/>
      <c r="AW27" s="318"/>
    </row>
    <row r="28" spans="1:49" s="5" customFormat="1" x14ac:dyDescent="0.2">
      <c r="A28" s="35"/>
      <c r="B28" s="158" t="s">
        <v>245</v>
      </c>
      <c r="C28" s="62"/>
      <c r="D28" s="109">
        <v>4836104</v>
      </c>
      <c r="E28" s="110">
        <v>4836104</v>
      </c>
      <c r="F28" s="110"/>
      <c r="G28" s="110"/>
      <c r="H28" s="110"/>
      <c r="I28" s="109">
        <v>4112984</v>
      </c>
      <c r="J28" s="109">
        <v>1779536</v>
      </c>
      <c r="K28" s="110">
        <v>1779536</v>
      </c>
      <c r="L28" s="110"/>
      <c r="M28" s="110"/>
      <c r="N28" s="110"/>
      <c r="O28" s="109">
        <v>599486</v>
      </c>
      <c r="P28" s="109">
        <v>643006</v>
      </c>
      <c r="Q28" s="110">
        <v>643006</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863704</v>
      </c>
      <c r="AT28" s="113"/>
      <c r="AU28" s="113"/>
      <c r="AV28" s="113">
        <f>72191+128286</f>
        <v>200477</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4154924</v>
      </c>
      <c r="E30" s="110">
        <v>4154924</v>
      </c>
      <c r="F30" s="110"/>
      <c r="G30" s="110"/>
      <c r="H30" s="110"/>
      <c r="I30" s="109">
        <v>3818375.156</v>
      </c>
      <c r="J30" s="109">
        <v>-1690248</v>
      </c>
      <c r="K30" s="110">
        <v>-1690248</v>
      </c>
      <c r="L30" s="110"/>
      <c r="M30" s="110"/>
      <c r="N30" s="110"/>
      <c r="O30" s="109">
        <v>-422645</v>
      </c>
      <c r="P30" s="109">
        <v>1260119</v>
      </c>
      <c r="Q30" s="110">
        <f>18287+104085+1137747</f>
        <v>1260119</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-243271</v>
      </c>
      <c r="AT30" s="113"/>
      <c r="AU30" s="113"/>
      <c r="AV30" s="113">
        <f>-258915+78620</f>
        <v>-180295</v>
      </c>
      <c r="AW30" s="318"/>
    </row>
    <row r="31" spans="1:49" x14ac:dyDescent="0.2">
      <c r="B31" s="158" t="s">
        <v>248</v>
      </c>
      <c r="C31" s="62"/>
      <c r="D31" s="109">
        <f>2300085</f>
        <v>2300085</v>
      </c>
      <c r="E31" s="110">
        <v>2300085</v>
      </c>
      <c r="F31" s="110"/>
      <c r="G31" s="110"/>
      <c r="H31" s="110"/>
      <c r="I31" s="109">
        <v>2113778</v>
      </c>
      <c r="J31" s="109">
        <f>4176732</f>
        <v>4176732</v>
      </c>
      <c r="K31" s="110">
        <f>4176732</f>
        <v>4176732</v>
      </c>
      <c r="L31" s="110"/>
      <c r="M31" s="110"/>
      <c r="N31" s="110"/>
      <c r="O31" s="109">
        <f>1060890</f>
        <v>1060890</v>
      </c>
      <c r="P31" s="109">
        <f>1408768</f>
        <v>1408768</v>
      </c>
      <c r="Q31" s="110">
        <f>1408768</f>
        <v>1408768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226025</v>
      </c>
      <c r="E37" s="118">
        <v>226025</v>
      </c>
      <c r="F37" s="118"/>
      <c r="G37" s="118"/>
      <c r="H37" s="118"/>
      <c r="I37" s="117">
        <v>207716.97500000001</v>
      </c>
      <c r="J37" s="117">
        <v>469611</v>
      </c>
      <c r="K37" s="118">
        <v>469611</v>
      </c>
      <c r="L37" s="118"/>
      <c r="M37" s="118"/>
      <c r="N37" s="118"/>
      <c r="O37" s="117">
        <v>123889</v>
      </c>
      <c r="P37" s="117">
        <v>195382</v>
      </c>
      <c r="Q37" s="118">
        <v>195382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417320</v>
      </c>
      <c r="AT37" s="119"/>
      <c r="AU37" s="119"/>
      <c r="AV37" s="119">
        <v>74568</v>
      </c>
      <c r="AW37" s="317"/>
    </row>
    <row r="38" spans="1:49" x14ac:dyDescent="0.2">
      <c r="B38" s="155" t="s">
        <v>255</v>
      </c>
      <c r="C38" s="62" t="s">
        <v>16</v>
      </c>
      <c r="D38" s="109">
        <v>78380</v>
      </c>
      <c r="E38" s="110">
        <v>78380</v>
      </c>
      <c r="F38" s="110"/>
      <c r="G38" s="110"/>
      <c r="H38" s="110"/>
      <c r="I38" s="109">
        <v>72031.22</v>
      </c>
      <c r="J38" s="109">
        <v>162848</v>
      </c>
      <c r="K38" s="110">
        <v>162848</v>
      </c>
      <c r="L38" s="110"/>
      <c r="M38" s="110"/>
      <c r="N38" s="110"/>
      <c r="O38" s="109">
        <v>42961</v>
      </c>
      <c r="P38" s="109">
        <v>67754</v>
      </c>
      <c r="Q38" s="110">
        <v>67754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144716</v>
      </c>
      <c r="AT38" s="113"/>
      <c r="AU38" s="113"/>
      <c r="AV38" s="113">
        <v>25859</v>
      </c>
      <c r="AW38" s="318"/>
    </row>
    <row r="39" spans="1:49" x14ac:dyDescent="0.2">
      <c r="B39" s="158" t="s">
        <v>256</v>
      </c>
      <c r="C39" s="62" t="s">
        <v>17</v>
      </c>
      <c r="D39" s="109">
        <v>45569</v>
      </c>
      <c r="E39" s="110">
        <v>45569</v>
      </c>
      <c r="F39" s="110"/>
      <c r="G39" s="110"/>
      <c r="H39" s="110"/>
      <c r="I39" s="109">
        <v>41877.911</v>
      </c>
      <c r="J39" s="109">
        <v>94679</v>
      </c>
      <c r="K39" s="110">
        <v>94679</v>
      </c>
      <c r="L39" s="110"/>
      <c r="M39" s="110"/>
      <c r="N39" s="110"/>
      <c r="O39" s="109">
        <v>24977</v>
      </c>
      <c r="P39" s="109">
        <v>39391</v>
      </c>
      <c r="Q39" s="110">
        <v>39391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84137</v>
      </c>
      <c r="AT39" s="113"/>
      <c r="AU39" s="113"/>
      <c r="AV39" s="113">
        <v>15034</v>
      </c>
      <c r="AW39" s="318"/>
    </row>
    <row r="40" spans="1:49" x14ac:dyDescent="0.2">
      <c r="B40" s="158" t="s">
        <v>257</v>
      </c>
      <c r="C40" s="62" t="s">
        <v>38</v>
      </c>
      <c r="D40" s="109">
        <v>196860</v>
      </c>
      <c r="E40" s="110">
        <v>196860</v>
      </c>
      <c r="F40" s="110"/>
      <c r="G40" s="110"/>
      <c r="H40" s="110"/>
      <c r="I40" s="109">
        <v>180914.34</v>
      </c>
      <c r="J40" s="109">
        <v>409015</v>
      </c>
      <c r="K40" s="110">
        <v>409015</v>
      </c>
      <c r="L40" s="110"/>
      <c r="M40" s="110"/>
      <c r="N40" s="110"/>
      <c r="O40" s="109">
        <v>107903</v>
      </c>
      <c r="P40" s="109">
        <v>170171</v>
      </c>
      <c r="Q40" s="110">
        <v>170171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363472</v>
      </c>
      <c r="AT40" s="113"/>
      <c r="AU40" s="113"/>
      <c r="AV40" s="113">
        <v>64947</v>
      </c>
      <c r="AW40" s="318"/>
    </row>
    <row r="41" spans="1:49" s="5" customFormat="1" ht="25.5" x14ac:dyDescent="0.2">
      <c r="A41" s="35"/>
      <c r="B41" s="158" t="s">
        <v>258</v>
      </c>
      <c r="C41" s="62" t="s">
        <v>129</v>
      </c>
      <c r="D41" s="109">
        <v>0</v>
      </c>
      <c r="E41" s="110">
        <v>0</v>
      </c>
      <c r="F41" s="110"/>
      <c r="G41" s="110"/>
      <c r="H41" s="110"/>
      <c r="I41" s="109">
        <v>0</v>
      </c>
      <c r="J41" s="109">
        <v>0</v>
      </c>
      <c r="K41" s="110">
        <v>0</v>
      </c>
      <c r="L41" s="110"/>
      <c r="M41" s="110"/>
      <c r="N41" s="110"/>
      <c r="O41" s="109">
        <v>0</v>
      </c>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v>0</v>
      </c>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v>0</v>
      </c>
      <c r="AO42" s="110">
        <v>0</v>
      </c>
      <c r="AP42" s="110"/>
      <c r="AQ42" s="110"/>
      <c r="AR42" s="110"/>
      <c r="AS42" s="109">
        <v>0</v>
      </c>
      <c r="AT42" s="113"/>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1671299</v>
      </c>
      <c r="E44" s="118">
        <v>1671299</v>
      </c>
      <c r="F44" s="118"/>
      <c r="G44" s="118"/>
      <c r="H44" s="118"/>
      <c r="I44" s="117">
        <v>1582279.5330000001</v>
      </c>
      <c r="J44" s="117">
        <v>2771611</v>
      </c>
      <c r="K44" s="118">
        <v>2771611</v>
      </c>
      <c r="L44" s="118"/>
      <c r="M44" s="118"/>
      <c r="N44" s="118"/>
      <c r="O44" s="117">
        <v>968542</v>
      </c>
      <c r="P44" s="117">
        <v>877299</v>
      </c>
      <c r="Q44" s="118">
        <v>877299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861224</v>
      </c>
      <c r="AT44" s="119"/>
      <c r="AU44" s="119"/>
      <c r="AV44" s="119">
        <v>248619</v>
      </c>
      <c r="AW44" s="317"/>
    </row>
    <row r="45" spans="1:49" x14ac:dyDescent="0.2">
      <c r="B45" s="161" t="s">
        <v>262</v>
      </c>
      <c r="C45" s="62" t="s">
        <v>19</v>
      </c>
      <c r="D45" s="109">
        <v>467500</v>
      </c>
      <c r="E45" s="110">
        <v>467500</v>
      </c>
      <c r="F45" s="110"/>
      <c r="G45" s="110"/>
      <c r="H45" s="110"/>
      <c r="I45" s="109">
        <v>443960.00699999998</v>
      </c>
      <c r="J45" s="109">
        <v>787600</v>
      </c>
      <c r="K45" s="110">
        <v>787600</v>
      </c>
      <c r="L45" s="110"/>
      <c r="M45" s="110"/>
      <c r="N45" s="110"/>
      <c r="O45" s="109">
        <v>278955</v>
      </c>
      <c r="P45" s="109">
        <v>273432</v>
      </c>
      <c r="Q45" s="110">
        <v>273432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240904</v>
      </c>
      <c r="AT45" s="113"/>
      <c r="AU45" s="113"/>
      <c r="AV45" s="113">
        <v>85504</v>
      </c>
      <c r="AW45" s="318"/>
    </row>
    <row r="46" spans="1:49" x14ac:dyDescent="0.2">
      <c r="B46" s="161" t="s">
        <v>263</v>
      </c>
      <c r="C46" s="62" t="s">
        <v>20</v>
      </c>
      <c r="D46" s="109">
        <v>4269985</v>
      </c>
      <c r="E46" s="110">
        <v>4269985</v>
      </c>
      <c r="F46" s="110"/>
      <c r="G46" s="110"/>
      <c r="H46" s="110"/>
      <c r="I46" s="109">
        <v>3924116.2150000003</v>
      </c>
      <c r="J46" s="109">
        <v>9497656</v>
      </c>
      <c r="K46" s="110">
        <v>9497656</v>
      </c>
      <c r="L46" s="110"/>
      <c r="M46" s="110"/>
      <c r="N46" s="110"/>
      <c r="O46" s="109">
        <v>2464164</v>
      </c>
      <c r="P46" s="109">
        <v>3500412</v>
      </c>
      <c r="Q46" s="110">
        <v>3500412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4587887</v>
      </c>
      <c r="AT46" s="113"/>
      <c r="AU46" s="113"/>
      <c r="AV46" s="113">
        <v>2036771</v>
      </c>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-922223</v>
      </c>
      <c r="E49" s="110">
        <v>-922223</v>
      </c>
      <c r="F49" s="110"/>
      <c r="G49" s="110"/>
      <c r="H49" s="110"/>
      <c r="I49" s="109">
        <v>-847522.93700000003</v>
      </c>
      <c r="J49" s="109">
        <v>-2001453</v>
      </c>
      <c r="K49" s="110">
        <v>-2001453</v>
      </c>
      <c r="L49" s="110"/>
      <c r="M49" s="110"/>
      <c r="N49" s="110"/>
      <c r="O49" s="109">
        <v>-507472</v>
      </c>
      <c r="P49" s="109">
        <v>-605792</v>
      </c>
      <c r="Q49" s="110">
        <v>-605792</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-1032630</v>
      </c>
      <c r="AT49" s="113"/>
      <c r="AU49" s="113"/>
      <c r="AV49" s="113">
        <v>-148530</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2111234</v>
      </c>
      <c r="E51" s="110">
        <v>2111234</v>
      </c>
      <c r="F51" s="110"/>
      <c r="G51" s="110"/>
      <c r="H51" s="110"/>
      <c r="I51" s="109">
        <v>5992733.7510000002</v>
      </c>
      <c r="J51" s="109">
        <v>4698984</v>
      </c>
      <c r="K51" s="110">
        <v>4698984</v>
      </c>
      <c r="L51" s="110"/>
      <c r="M51" s="110"/>
      <c r="N51" s="110"/>
      <c r="O51" s="109">
        <v>3675025</v>
      </c>
      <c r="P51" s="109">
        <f>8512+314688+1416097</f>
        <v>1739297</v>
      </c>
      <c r="Q51" s="110">
        <f>8512+314688+1416097</f>
        <v>1739297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2268416</v>
      </c>
      <c r="AT51" s="113"/>
      <c r="AU51" s="113"/>
      <c r="AV51" s="113">
        <v>1016852</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32863</v>
      </c>
      <c r="E53" s="110">
        <v>32863</v>
      </c>
      <c r="F53" s="110"/>
      <c r="G53" s="289"/>
      <c r="H53" s="289"/>
      <c r="I53" s="109">
        <v>30201.097000000002</v>
      </c>
      <c r="J53" s="109">
        <v>65653</v>
      </c>
      <c r="K53" s="110">
        <v>65653</v>
      </c>
      <c r="L53" s="110"/>
      <c r="M53" s="289"/>
      <c r="N53" s="289"/>
      <c r="O53" s="109">
        <v>16765</v>
      </c>
      <c r="P53" s="109">
        <v>20449</v>
      </c>
      <c r="Q53" s="110">
        <v>20449</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32606</v>
      </c>
      <c r="AT53" s="113"/>
      <c r="AU53" s="113"/>
      <c r="AV53" s="113">
        <v>5009</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1302180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16881</v>
      </c>
      <c r="E56" s="122">
        <v>16881</v>
      </c>
      <c r="F56" s="122"/>
      <c r="G56" s="122"/>
      <c r="H56" s="122"/>
      <c r="I56" s="121">
        <v>15514</v>
      </c>
      <c r="J56" s="121">
        <v>12676</v>
      </c>
      <c r="K56" s="122">
        <v>12676</v>
      </c>
      <c r="L56" s="122"/>
      <c r="M56" s="122"/>
      <c r="N56" s="122"/>
      <c r="O56" s="121">
        <v>3321</v>
      </c>
      <c r="P56" s="121">
        <v>6928</v>
      </c>
      <c r="Q56" s="122">
        <v>6928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21975</v>
      </c>
      <c r="AT56" s="123"/>
      <c r="AU56" s="123"/>
      <c r="AV56" s="123">
        <v>1939</v>
      </c>
      <c r="AW56" s="309"/>
    </row>
    <row r="57" spans="2:49" x14ac:dyDescent="0.2">
      <c r="B57" s="161" t="s">
        <v>273</v>
      </c>
      <c r="C57" s="62" t="s">
        <v>25</v>
      </c>
      <c r="D57" s="124">
        <v>26630</v>
      </c>
      <c r="E57" s="125">
        <v>26630</v>
      </c>
      <c r="F57" s="125"/>
      <c r="G57" s="125"/>
      <c r="H57" s="125"/>
      <c r="I57" s="124">
        <v>24473</v>
      </c>
      <c r="J57" s="124">
        <v>21887</v>
      </c>
      <c r="K57" s="125">
        <v>21887</v>
      </c>
      <c r="L57" s="125"/>
      <c r="M57" s="125"/>
      <c r="N57" s="125"/>
      <c r="O57" s="124">
        <v>5767</v>
      </c>
      <c r="P57" s="124">
        <v>13798</v>
      </c>
      <c r="Q57" s="125">
        <v>13798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21975</v>
      </c>
      <c r="AT57" s="126"/>
      <c r="AU57" s="126"/>
      <c r="AV57" s="126">
        <v>4874</v>
      </c>
      <c r="AW57" s="310"/>
    </row>
    <row r="58" spans="2:49" x14ac:dyDescent="0.2">
      <c r="B58" s="161" t="s">
        <v>274</v>
      </c>
      <c r="C58" s="62" t="s">
        <v>26</v>
      </c>
      <c r="D58" s="330"/>
      <c r="E58" s="331"/>
      <c r="F58" s="331"/>
      <c r="G58" s="331"/>
      <c r="H58" s="331"/>
      <c r="I58" s="330"/>
      <c r="J58" s="124">
        <v>3569</v>
      </c>
      <c r="K58" s="125">
        <v>3569</v>
      </c>
      <c r="L58" s="125"/>
      <c r="M58" s="125"/>
      <c r="N58" s="125"/>
      <c r="O58" s="124">
        <v>958</v>
      </c>
      <c r="P58" s="124">
        <v>276</v>
      </c>
      <c r="Q58" s="125">
        <v>276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50</v>
      </c>
      <c r="AT58" s="126"/>
      <c r="AU58" s="126"/>
      <c r="AV58" s="126">
        <v>31</v>
      </c>
      <c r="AW58" s="310"/>
    </row>
    <row r="59" spans="2:49" x14ac:dyDescent="0.2">
      <c r="B59" s="161" t="s">
        <v>275</v>
      </c>
      <c r="C59" s="62" t="s">
        <v>27</v>
      </c>
      <c r="D59" s="124">
        <v>258158</v>
      </c>
      <c r="E59" s="125">
        <v>258158</v>
      </c>
      <c r="F59" s="125"/>
      <c r="G59" s="125"/>
      <c r="H59" s="125"/>
      <c r="I59" s="124">
        <v>237247</v>
      </c>
      <c r="J59" s="124">
        <f>801+9052+512704</f>
        <v>522557</v>
      </c>
      <c r="K59" s="125">
        <v>522557</v>
      </c>
      <c r="L59" s="125"/>
      <c r="M59" s="125"/>
      <c r="N59" s="125"/>
      <c r="O59" s="124">
        <v>134988</v>
      </c>
      <c r="P59" s="124">
        <v>181386</v>
      </c>
      <c r="Q59" s="125">
        <v>181386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256137</v>
      </c>
      <c r="AT59" s="126"/>
      <c r="AU59" s="126"/>
      <c r="AV59" s="126">
        <v>58589</v>
      </c>
      <c r="AW59" s="310"/>
    </row>
    <row r="60" spans="2:49" x14ac:dyDescent="0.2">
      <c r="B60" s="161" t="s">
        <v>276</v>
      </c>
      <c r="C60" s="62"/>
      <c r="D60" s="127">
        <v>21513.166666666668</v>
      </c>
      <c r="E60" s="128">
        <v>21513.166666666668</v>
      </c>
      <c r="F60" s="128">
        <v>0</v>
      </c>
      <c r="G60" s="128">
        <v>0</v>
      </c>
      <c r="H60" s="128">
        <v>0</v>
      </c>
      <c r="I60" s="127">
        <v>19770.600166666667</v>
      </c>
      <c r="J60" s="127">
        <v>48546</v>
      </c>
      <c r="K60" s="128">
        <v>43546</v>
      </c>
      <c r="L60" s="128">
        <v>0</v>
      </c>
      <c r="M60" s="128">
        <v>0</v>
      </c>
      <c r="N60" s="128">
        <v>0</v>
      </c>
      <c r="O60" s="127">
        <v>11249</v>
      </c>
      <c r="P60" s="127">
        <v>15115</v>
      </c>
      <c r="Q60" s="128">
        <v>15115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21344.75</v>
      </c>
      <c r="AT60" s="129">
        <v>0</v>
      </c>
      <c r="AU60" s="129">
        <v>0</v>
      </c>
      <c r="AV60" s="129">
        <v>4882</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-5596295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322000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717" yWindow="275"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117677457</v>
      </c>
      <c r="E5" s="118">
        <v>105618835</v>
      </c>
      <c r="F5" s="118"/>
      <c r="G5" s="130"/>
      <c r="H5" s="130"/>
      <c r="I5" s="117">
        <v>96919382</v>
      </c>
      <c r="J5" s="117">
        <f>211378155+415637</f>
        <v>211793792</v>
      </c>
      <c r="K5" s="118">
        <f>221186181+428651</f>
        <v>221614832</v>
      </c>
      <c r="L5" s="118">
        <v>-444312</v>
      </c>
      <c r="M5" s="118"/>
      <c r="N5" s="118"/>
      <c r="O5" s="117">
        <v>63740954</v>
      </c>
      <c r="P5" s="117">
        <f>81087105+1236752</f>
        <v>82323857</v>
      </c>
      <c r="Q5" s="118">
        <f>84240874+1267118</f>
        <v>85507992</v>
      </c>
      <c r="R5" s="118">
        <v>-535865</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206737173</v>
      </c>
      <c r="AT5" s="119"/>
      <c r="AU5" s="119"/>
      <c r="AV5" s="312"/>
      <c r="AW5" s="317"/>
    </row>
    <row r="6" spans="2:49" x14ac:dyDescent="0.2">
      <c r="B6" s="176" t="s">
        <v>279</v>
      </c>
      <c r="C6" s="133" t="s">
        <v>8</v>
      </c>
      <c r="D6" s="109">
        <v>204982</v>
      </c>
      <c r="E6" s="110">
        <v>204982</v>
      </c>
      <c r="F6" s="110"/>
      <c r="G6" s="111"/>
      <c r="H6" s="111"/>
      <c r="I6" s="109"/>
      <c r="J6" s="109">
        <f>2361182+1502</f>
        <v>2362684</v>
      </c>
      <c r="K6" s="110">
        <f>2361182+1502</f>
        <v>2362684</v>
      </c>
      <c r="L6" s="110"/>
      <c r="M6" s="110"/>
      <c r="N6" s="110"/>
      <c r="O6" s="109"/>
      <c r="P6" s="109">
        <f>415504+2805</f>
        <v>418309</v>
      </c>
      <c r="Q6" s="110">
        <f>415504+2805</f>
        <v>418309</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672977</v>
      </c>
      <c r="E7" s="110">
        <v>672977</v>
      </c>
      <c r="F7" s="110"/>
      <c r="G7" s="111"/>
      <c r="H7" s="111"/>
      <c r="I7" s="109"/>
      <c r="J7" s="109">
        <v>931455</v>
      </c>
      <c r="K7" s="110">
        <v>931455</v>
      </c>
      <c r="L7" s="110"/>
      <c r="M7" s="110"/>
      <c r="N7" s="110"/>
      <c r="O7" s="109"/>
      <c r="P7" s="109">
        <v>286437</v>
      </c>
      <c r="Q7" s="110">
        <v>286437</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12068711</v>
      </c>
      <c r="E15" s="110">
        <v>14451040</v>
      </c>
      <c r="F15" s="110"/>
      <c r="G15" s="110"/>
      <c r="H15" s="110"/>
      <c r="I15" s="109">
        <v>14451040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-10601176</v>
      </c>
      <c r="E16" s="110">
        <v>-23904728</v>
      </c>
      <c r="F16" s="110"/>
      <c r="G16" s="110"/>
      <c r="H16" s="110"/>
      <c r="I16" s="109">
        <v>-23904728</v>
      </c>
      <c r="J16" s="109">
        <v>-1691108</v>
      </c>
      <c r="K16" s="110">
        <v>-7051443</v>
      </c>
      <c r="L16" s="110"/>
      <c r="M16" s="110"/>
      <c r="N16" s="110"/>
      <c r="O16" s="109">
        <v>-7051443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243052</v>
      </c>
      <c r="E17" s="269">
        <v>2945649</v>
      </c>
      <c r="F17" s="269"/>
      <c r="G17" s="269"/>
      <c r="H17" s="110"/>
      <c r="I17" s="293"/>
      <c r="J17" s="109"/>
      <c r="K17" s="269">
        <v>138745</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55157814</v>
      </c>
      <c r="E20" s="110">
        <v>54838175</v>
      </c>
      <c r="F20" s="110"/>
      <c r="G20" s="110"/>
      <c r="H20" s="110"/>
      <c r="I20" s="109">
        <v>54838175</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75020384</v>
      </c>
      <c r="E23" s="288"/>
      <c r="F23" s="288"/>
      <c r="G23" s="288"/>
      <c r="H23" s="288"/>
      <c r="I23" s="292"/>
      <c r="J23" s="109">
        <f>192048789-2262898</f>
        <v>189785891</v>
      </c>
      <c r="K23" s="288"/>
      <c r="L23" s="288"/>
      <c r="M23" s="288"/>
      <c r="N23" s="288"/>
      <c r="O23" s="292"/>
      <c r="P23" s="109">
        <f>51759463+21414772-7262161</f>
        <v>65912074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174596925</v>
      </c>
      <c r="AT23" s="113"/>
      <c r="AU23" s="113"/>
      <c r="AV23" s="311"/>
      <c r="AW23" s="318"/>
    </row>
    <row r="24" spans="2:49" ht="28.5" customHeight="1" x14ac:dyDescent="0.2">
      <c r="B24" s="178" t="s">
        <v>114</v>
      </c>
      <c r="C24" s="133"/>
      <c r="D24" s="293"/>
      <c r="E24" s="110">
        <v>85452472</v>
      </c>
      <c r="F24" s="110">
        <v>0</v>
      </c>
      <c r="G24" s="110"/>
      <c r="H24" s="110"/>
      <c r="I24" s="109">
        <v>73145156</v>
      </c>
      <c r="J24" s="293"/>
      <c r="K24" s="110">
        <f>180965200+255750</f>
        <v>181220950</v>
      </c>
      <c r="L24" s="110">
        <v>80978</v>
      </c>
      <c r="M24" s="110"/>
      <c r="N24" s="110"/>
      <c r="O24" s="109">
        <v>42825430</v>
      </c>
      <c r="P24" s="293"/>
      <c r="Q24" s="110">
        <f>64514997+847727</f>
        <v>65362724</v>
      </c>
      <c r="R24" s="110">
        <v>551598</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14</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10892743</v>
      </c>
      <c r="E26" s="288"/>
      <c r="F26" s="288"/>
      <c r="G26" s="288"/>
      <c r="H26" s="288"/>
      <c r="I26" s="292"/>
      <c r="J26" s="109">
        <f>11955714+205378</f>
        <v>12161092</v>
      </c>
      <c r="K26" s="288"/>
      <c r="L26" s="288"/>
      <c r="M26" s="288"/>
      <c r="N26" s="288"/>
      <c r="O26" s="292"/>
      <c r="P26" s="109">
        <f>462076+1020297+5721313</f>
        <v>7203686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25335883</v>
      </c>
      <c r="AT26" s="113"/>
      <c r="AU26" s="113"/>
      <c r="AV26" s="311"/>
      <c r="AW26" s="318"/>
    </row>
    <row r="27" spans="2:49" s="5" customFormat="1" ht="25.5" x14ac:dyDescent="0.2">
      <c r="B27" s="178" t="s">
        <v>85</v>
      </c>
      <c r="C27" s="133"/>
      <c r="D27" s="293"/>
      <c r="E27" s="110">
        <v>1632328</v>
      </c>
      <c r="F27" s="110">
        <v>0</v>
      </c>
      <c r="G27" s="110"/>
      <c r="H27" s="110"/>
      <c r="I27" s="109">
        <v>1266281</v>
      </c>
      <c r="J27" s="293"/>
      <c r="K27" s="110">
        <f>2105105+12274</f>
        <v>2117379</v>
      </c>
      <c r="L27" s="110">
        <v>33212</v>
      </c>
      <c r="M27" s="110"/>
      <c r="N27" s="110"/>
      <c r="O27" s="109">
        <v>926659</v>
      </c>
      <c r="P27" s="293"/>
      <c r="Q27" s="110">
        <f>1124717+37039</f>
        <v>1161756</v>
      </c>
      <c r="R27" s="110">
        <v>16172</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2944357</v>
      </c>
      <c r="E28" s="289"/>
      <c r="F28" s="289"/>
      <c r="G28" s="289"/>
      <c r="H28" s="289"/>
      <c r="I28" s="293"/>
      <c r="J28" s="109">
        <f>25451487+295140</f>
        <v>25746627</v>
      </c>
      <c r="K28" s="289"/>
      <c r="L28" s="289"/>
      <c r="M28" s="289"/>
      <c r="N28" s="289"/>
      <c r="O28" s="293"/>
      <c r="P28" s="109">
        <f>6718201+2476731+842231</f>
        <v>10037163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1767241</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12563</v>
      </c>
      <c r="E45" s="110">
        <v>10934</v>
      </c>
      <c r="F45" s="110"/>
      <c r="G45" s="110"/>
      <c r="H45" s="110"/>
      <c r="I45" s="109">
        <v>0</v>
      </c>
      <c r="J45" s="109">
        <f>845804+522</f>
        <v>846326</v>
      </c>
      <c r="K45" s="110">
        <f>802266+218</f>
        <v>802484</v>
      </c>
      <c r="L45" s="110"/>
      <c r="M45" s="110"/>
      <c r="N45" s="110"/>
      <c r="O45" s="109">
        <v>2722</v>
      </c>
      <c r="P45" s="109">
        <f>1072+16514+248675</f>
        <v>266261</v>
      </c>
      <c r="Q45" s="110">
        <f>250143+449</f>
        <v>250592</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22090</v>
      </c>
      <c r="AT45" s="113"/>
      <c r="AU45" s="113"/>
      <c r="AV45" s="311"/>
      <c r="AW45" s="318"/>
    </row>
    <row r="46" spans="2:49" x14ac:dyDescent="0.2">
      <c r="B46" s="176" t="s">
        <v>116</v>
      </c>
      <c r="C46" s="133" t="s">
        <v>31</v>
      </c>
      <c r="D46" s="109">
        <v>16890</v>
      </c>
      <c r="E46" s="110">
        <v>14041.621000000001</v>
      </c>
      <c r="F46" s="110"/>
      <c r="G46" s="110"/>
      <c r="H46" s="110"/>
      <c r="I46" s="109">
        <v>0</v>
      </c>
      <c r="J46" s="109">
        <f>201273+297</f>
        <v>201570</v>
      </c>
      <c r="K46" s="110"/>
      <c r="L46" s="110"/>
      <c r="M46" s="110"/>
      <c r="N46" s="110"/>
      <c r="O46" s="109"/>
      <c r="P46" s="109">
        <f>610+13129+58305</f>
        <v>72044</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29368</v>
      </c>
      <c r="AT46" s="113"/>
      <c r="AU46" s="113"/>
      <c r="AV46" s="311"/>
      <c r="AW46" s="318"/>
    </row>
    <row r="47" spans="2:49" x14ac:dyDescent="0.2">
      <c r="B47" s="176" t="s">
        <v>117</v>
      </c>
      <c r="C47" s="133" t="s">
        <v>32</v>
      </c>
      <c r="D47" s="109">
        <v>-2263</v>
      </c>
      <c r="E47" s="289"/>
      <c r="F47" s="289"/>
      <c r="G47" s="289"/>
      <c r="H47" s="289"/>
      <c r="I47" s="293"/>
      <c r="J47" s="109">
        <f>63405+313</f>
        <v>63718</v>
      </c>
      <c r="K47" s="289"/>
      <c r="L47" s="289"/>
      <c r="M47" s="289"/>
      <c r="N47" s="289"/>
      <c r="O47" s="293"/>
      <c r="P47" s="109">
        <f>585-1071+15899</f>
        <v>15413</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5407</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96</v>
      </c>
      <c r="E49" s="110">
        <v>328908.12191300362</v>
      </c>
      <c r="F49" s="110"/>
      <c r="G49" s="110"/>
      <c r="H49" s="110"/>
      <c r="I49" s="109">
        <v>310580</v>
      </c>
      <c r="J49" s="109">
        <f>128692-98365</f>
        <v>30327</v>
      </c>
      <c r="K49" s="110">
        <f>501690-52238</f>
        <v>449452</v>
      </c>
      <c r="L49" s="110"/>
      <c r="M49" s="110"/>
      <c r="N49" s="110"/>
      <c r="O49" s="109">
        <v>181223</v>
      </c>
      <c r="P49" s="109">
        <f>381834-202202</f>
        <v>179632</v>
      </c>
      <c r="Q49" s="110">
        <f>425160-107347</f>
        <v>317813</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-292727</v>
      </c>
      <c r="E50" s="289"/>
      <c r="F50" s="289"/>
      <c r="G50" s="289"/>
      <c r="H50" s="289"/>
      <c r="I50" s="293"/>
      <c r="J50" s="109">
        <f>332898+2680879</f>
        <v>3013777</v>
      </c>
      <c r="K50" s="289"/>
      <c r="L50" s="289"/>
      <c r="M50" s="289"/>
      <c r="N50" s="289"/>
      <c r="O50" s="293"/>
      <c r="P50" s="109">
        <f>-5328456+8062615</f>
        <v>2734159</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289701</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v>0</v>
      </c>
      <c r="F53" s="110"/>
      <c r="G53" s="110"/>
      <c r="H53" s="110"/>
      <c r="I53" s="109"/>
      <c r="J53" s="109">
        <f>655366-24713</f>
        <v>630653</v>
      </c>
      <c r="K53" s="110">
        <f>1075084-22547</f>
        <v>1052537</v>
      </c>
      <c r="L53" s="110"/>
      <c r="M53" s="110"/>
      <c r="N53" s="110"/>
      <c r="O53" s="109">
        <v>642710</v>
      </c>
      <c r="P53" s="109">
        <f>2136028+88258</f>
        <v>2224286</v>
      </c>
      <c r="Q53" s="110">
        <f>2244822+136039</f>
        <v>2380861</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82707662</v>
      </c>
      <c r="E54" s="115">
        <v>86780867</v>
      </c>
      <c r="F54" s="115">
        <v>0</v>
      </c>
      <c r="G54" s="115">
        <v>0</v>
      </c>
      <c r="H54" s="115">
        <v>0</v>
      </c>
      <c r="I54" s="114">
        <v>74100857</v>
      </c>
      <c r="J54" s="114">
        <f>180396259+402377</f>
        <v>180798636</v>
      </c>
      <c r="K54" s="115">
        <f>184445966+297934</f>
        <v>184743900</v>
      </c>
      <c r="L54" s="115">
        <v>114189</v>
      </c>
      <c r="M54" s="115">
        <v>0</v>
      </c>
      <c r="N54" s="115">
        <v>0</v>
      </c>
      <c r="O54" s="114">
        <v>44216298</v>
      </c>
      <c r="P54" s="114">
        <f>67468445+711856</f>
        <v>68180301</v>
      </c>
      <c r="Q54" s="115">
        <f>67709520+1128601</f>
        <v>68838121</v>
      </c>
      <c r="R54" s="115">
        <v>567770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14</v>
      </c>
      <c r="AP54" s="115">
        <v>0</v>
      </c>
      <c r="AQ54" s="115">
        <v>0</v>
      </c>
      <c r="AR54" s="115">
        <v>0</v>
      </c>
      <c r="AS54" s="114">
        <v>198501319</v>
      </c>
      <c r="AT54" s="116">
        <v>0</v>
      </c>
      <c r="AU54" s="116">
        <v>0</v>
      </c>
      <c r="AV54" s="311"/>
      <c r="AW54" s="318"/>
    </row>
    <row r="55" spans="2:49" ht="25.5" x14ac:dyDescent="0.2">
      <c r="B55" s="181" t="s">
        <v>304</v>
      </c>
      <c r="C55" s="137" t="s">
        <v>28</v>
      </c>
      <c r="D55" s="114">
        <v>65062</v>
      </c>
      <c r="E55" s="115">
        <v>65062</v>
      </c>
      <c r="F55" s="115">
        <v>0</v>
      </c>
      <c r="G55" s="115">
        <v>0</v>
      </c>
      <c r="H55" s="115">
        <v>0</v>
      </c>
      <c r="I55" s="114">
        <v>0</v>
      </c>
      <c r="J55" s="114">
        <f>130766+179</f>
        <v>130945</v>
      </c>
      <c r="K55" s="115">
        <f>130766+179</f>
        <v>130945</v>
      </c>
      <c r="L55" s="115">
        <v>0</v>
      </c>
      <c r="M55" s="115">
        <v>0</v>
      </c>
      <c r="N55" s="115">
        <v>0</v>
      </c>
      <c r="O55" s="114">
        <v>0</v>
      </c>
      <c r="P55" s="114">
        <f>43012+369</f>
        <v>43381</v>
      </c>
      <c r="Q55" s="115">
        <f>43012+369</f>
        <v>43381</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3164</v>
      </c>
      <c r="AT55" s="116">
        <v>0</v>
      </c>
      <c r="AU55" s="116">
        <v>0</v>
      </c>
      <c r="AV55" s="311"/>
      <c r="AW55" s="318"/>
    </row>
    <row r="56" spans="2:49" ht="11.85" customHeight="1" x14ac:dyDescent="0.2">
      <c r="B56" s="176" t="s">
        <v>120</v>
      </c>
      <c r="C56" s="137" t="s">
        <v>452</v>
      </c>
      <c r="D56" s="109">
        <v>65062</v>
      </c>
      <c r="E56" s="110">
        <v>65062</v>
      </c>
      <c r="F56" s="110"/>
      <c r="G56" s="110"/>
      <c r="H56" s="110"/>
      <c r="I56" s="109">
        <v>0</v>
      </c>
      <c r="J56" s="109">
        <f>130766+179</f>
        <v>130945</v>
      </c>
      <c r="K56" s="110">
        <f>130766+179</f>
        <v>130945</v>
      </c>
      <c r="L56" s="110"/>
      <c r="M56" s="110"/>
      <c r="N56" s="110"/>
      <c r="O56" s="109"/>
      <c r="P56" s="109">
        <f>43012+369</f>
        <v>43381</v>
      </c>
      <c r="Q56" s="110">
        <f>43012+369</f>
        <v>43381</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3164</v>
      </c>
      <c r="AT56" s="113"/>
      <c r="AU56" s="113"/>
      <c r="AV56" s="113">
        <v>12522</v>
      </c>
      <c r="AW56" s="318"/>
    </row>
    <row r="57" spans="2:49" x14ac:dyDescent="0.2">
      <c r="B57" s="176" t="s">
        <v>121</v>
      </c>
      <c r="C57" s="137" t="s">
        <v>29</v>
      </c>
      <c r="D57" s="109">
        <v>441483</v>
      </c>
      <c r="E57" s="110">
        <v>441483</v>
      </c>
      <c r="F57" s="110"/>
      <c r="G57" s="110"/>
      <c r="H57" s="110"/>
      <c r="I57" s="109">
        <v>0</v>
      </c>
      <c r="J57" s="109">
        <f>2281961+2233</f>
        <v>2284194</v>
      </c>
      <c r="K57" s="110">
        <f>2281961+2233</f>
        <v>2284194</v>
      </c>
      <c r="L57" s="110"/>
      <c r="M57" s="110"/>
      <c r="N57" s="110"/>
      <c r="O57" s="109"/>
      <c r="P57" s="109">
        <f>401537+10780</f>
        <v>412317</v>
      </c>
      <c r="Q57" s="110">
        <f>401537+10780</f>
        <v>412317</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496698</v>
      </c>
      <c r="AT57" s="113"/>
      <c r="AU57" s="113"/>
      <c r="AV57" s="113"/>
      <c r="AW57" s="318"/>
    </row>
    <row r="58" spans="2:49" s="5" customFormat="1" x14ac:dyDescent="0.2">
      <c r="B58" s="184" t="s">
        <v>484</v>
      </c>
      <c r="C58" s="185"/>
      <c r="D58" s="186"/>
      <c r="E58" s="187">
        <v>3074276</v>
      </c>
      <c r="F58" s="187"/>
      <c r="G58" s="187"/>
      <c r="H58" s="187"/>
      <c r="I58" s="186">
        <v>3074276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854" yWindow="17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20874049</v>
      </c>
      <c r="D5" s="118">
        <v>25412939</v>
      </c>
      <c r="E5" s="346"/>
      <c r="F5" s="346"/>
      <c r="G5" s="312"/>
      <c r="H5" s="117">
        <f>165930804+788540</f>
        <v>166719344</v>
      </c>
      <c r="I5" s="118">
        <f>212791451+1183175</f>
        <v>213974626</v>
      </c>
      <c r="J5" s="346"/>
      <c r="K5" s="346"/>
      <c r="L5" s="312"/>
      <c r="M5" s="117">
        <f>65143836+2483753</f>
        <v>67627589</v>
      </c>
      <c r="N5" s="118">
        <f>67686914+2864137</f>
        <v>70551051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21324333</v>
      </c>
      <c r="D6" s="110">
        <v>24771378</v>
      </c>
      <c r="E6" s="115">
        <f>86845980-51</f>
        <v>86845929</v>
      </c>
      <c r="F6" s="115">
        <f>132661937+279703</f>
        <v>132941640</v>
      </c>
      <c r="G6" s="116">
        <v>74100857</v>
      </c>
      <c r="H6" s="109">
        <f>165144554+844602</f>
        <v>165989156</v>
      </c>
      <c r="I6" s="110">
        <f>214508815+1164679</f>
        <v>215673494</v>
      </c>
      <c r="J6" s="115">
        <f>2774409+181802323+298113</f>
        <v>184874845</v>
      </c>
      <c r="K6" s="115">
        <f>8229979+557000122+2307394</f>
        <v>567537495</v>
      </c>
      <c r="L6" s="116">
        <f>1614023+42602275</f>
        <v>44216298</v>
      </c>
      <c r="M6" s="109">
        <f>64578777+3374873</f>
        <v>67953650</v>
      </c>
      <c r="N6" s="110">
        <f>69538728+2713044</f>
        <v>72251772</v>
      </c>
      <c r="O6" s="115">
        <f>1128970+56732448+11020084</f>
        <v>68881502</v>
      </c>
      <c r="P6" s="115">
        <f>7216887+164303746+37566291</f>
        <v>209086924</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14</v>
      </c>
      <c r="AN6" s="253">
        <v>14</v>
      </c>
    </row>
    <row r="7" spans="1:40" x14ac:dyDescent="0.2">
      <c r="B7" s="191" t="s">
        <v>312</v>
      </c>
      <c r="C7" s="109">
        <v>149990</v>
      </c>
      <c r="D7" s="110">
        <v>115502</v>
      </c>
      <c r="E7" s="115">
        <v>546834</v>
      </c>
      <c r="F7" s="115">
        <f>811991+335</f>
        <v>812326</v>
      </c>
      <c r="G7" s="116">
        <v>502540</v>
      </c>
      <c r="H7" s="109">
        <f>1428995+3827</f>
        <v>1432822</v>
      </c>
      <c r="I7" s="110">
        <f>1432789+6093</f>
        <v>1438882</v>
      </c>
      <c r="J7" s="115">
        <f>45406+4731+1086016</f>
        <v>1136153</v>
      </c>
      <c r="K7" s="115">
        <f>76758+3916448+14651</f>
        <v>4007857</v>
      </c>
      <c r="L7" s="116">
        <f>23884+275848</f>
        <v>299732</v>
      </c>
      <c r="M7" s="109">
        <f>450932+18597</f>
        <v>469529</v>
      </c>
      <c r="N7" s="110">
        <f>415727+11372</f>
        <v>427099</v>
      </c>
      <c r="O7" s="115">
        <f>9723+320608+142367</f>
        <v>472698</v>
      </c>
      <c r="P7" s="115">
        <f>39692+1057168+272466</f>
        <v>1369326</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3074276</v>
      </c>
      <c r="F8" s="269">
        <v>3074276</v>
      </c>
      <c r="G8" s="270">
        <v>3074276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14451040</v>
      </c>
      <c r="F9" s="115">
        <v>14451040</v>
      </c>
      <c r="G9" s="116">
        <v>14451040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-23904728</v>
      </c>
      <c r="F10" s="115">
        <v>-23904728</v>
      </c>
      <c r="G10" s="116">
        <v>-23904728</v>
      </c>
      <c r="H10" s="292"/>
      <c r="I10" s="288"/>
      <c r="J10" s="115">
        <v>-7051443</v>
      </c>
      <c r="K10" s="115">
        <v>-7051443</v>
      </c>
      <c r="L10" s="116">
        <v>-7051443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2945649</v>
      </c>
      <c r="F11" s="115">
        <v>2945649</v>
      </c>
      <c r="G11" s="314"/>
      <c r="H11" s="292"/>
      <c r="I11" s="288"/>
      <c r="J11" s="115">
        <v>138745</v>
      </c>
      <c r="K11" s="115">
        <v>138745</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21474323</v>
      </c>
      <c r="D12" s="115">
        <v>24886880</v>
      </c>
      <c r="E12" s="115">
        <f>90826577-51</f>
        <v>90826526</v>
      </c>
      <c r="F12" s="115">
        <f>136907691+280038</f>
        <v>137187729</v>
      </c>
      <c r="G12" s="311"/>
      <c r="H12" s="114">
        <f>167573549+848429</f>
        <v>168421978</v>
      </c>
      <c r="I12" s="115">
        <f>215941604+1170772</f>
        <v>217112376</v>
      </c>
      <c r="J12" s="115">
        <f>2819815+189801037+302844</f>
        <v>192923696</v>
      </c>
      <c r="K12" s="115">
        <f>8306737+567829268+2322045</f>
        <v>578458050</v>
      </c>
      <c r="L12" s="311"/>
      <c r="M12" s="114">
        <f>65029709+3393470</f>
        <v>68423179</v>
      </c>
      <c r="N12" s="115">
        <f>69954455+2724416</f>
        <v>72678871</v>
      </c>
      <c r="O12" s="115">
        <f>1138693+57053056+11162451</f>
        <v>69354200</v>
      </c>
      <c r="P12" s="115">
        <f>7256579+165360914+37838757</f>
        <v>210456250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14</v>
      </c>
      <c r="AN13" s="253">
        <v>14</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23800808</v>
      </c>
      <c r="D15" s="118">
        <v>25712080</v>
      </c>
      <c r="E15" s="106">
        <f>56+105150784</f>
        <v>105150840</v>
      </c>
      <c r="F15" s="106">
        <f>149256+154514472</f>
        <v>154663728</v>
      </c>
      <c r="G15" s="107">
        <v>96919382</v>
      </c>
      <c r="H15" s="117">
        <f>199734981+1480873</f>
        <v>201215854</v>
      </c>
      <c r="I15" s="118">
        <f>259028968+1653864</f>
        <v>260682832</v>
      </c>
      <c r="J15" s="106">
        <f>3623806+218992102+430153</f>
        <v>223046061</v>
      </c>
      <c r="K15" s="106">
        <f>10304099+671075758+3564890</f>
        <v>684944747</v>
      </c>
      <c r="L15" s="107">
        <f>2087146+61653808</f>
        <v>63740954</v>
      </c>
      <c r="M15" s="117">
        <f>82110401+6147438</f>
        <v>88257839</v>
      </c>
      <c r="N15" s="118">
        <f>86563737+3449190</f>
        <v>90012927</v>
      </c>
      <c r="O15" s="106">
        <f>1269923+70785731+13584210</f>
        <v>85639864</v>
      </c>
      <c r="P15" s="106">
        <f>10866551+206782147+46261932</f>
        <v>263910630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-109383</v>
      </c>
      <c r="D16" s="110">
        <v>-555661</v>
      </c>
      <c r="E16" s="115">
        <f>-668+18593871</f>
        <v>18593203</v>
      </c>
      <c r="F16" s="115">
        <f>-78242+18006401</f>
        <v>17928159</v>
      </c>
      <c r="G16" s="116">
        <v>7053897.9191599991</v>
      </c>
      <c r="H16" s="109">
        <f>6095163+228481</f>
        <v>6323644</v>
      </c>
      <c r="I16" s="110">
        <f>6458188+171227</f>
        <v>6629415</v>
      </c>
      <c r="J16" s="115">
        <f>481047-111934-7389</f>
        <v>361724</v>
      </c>
      <c r="K16" s="115">
        <f>683301+12239163+392319</f>
        <v>13314783</v>
      </c>
      <c r="L16" s="116">
        <f>127733+3618403</f>
        <v>3746136</v>
      </c>
      <c r="M16" s="109">
        <f>6114185+159777</f>
        <v>6273962</v>
      </c>
      <c r="N16" s="110">
        <f>5916230+145566</f>
        <v>6061796</v>
      </c>
      <c r="O16" s="115">
        <f>153454+4875941+314213</f>
        <v>5343608</v>
      </c>
      <c r="P16" s="115">
        <f>458797+15354719+1865850</f>
        <v>17679366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-4</v>
      </c>
      <c r="AN16" s="253">
        <v>-4</v>
      </c>
    </row>
    <row r="17" spans="1:40" s="76" customFormat="1" x14ac:dyDescent="0.2">
      <c r="A17" s="143"/>
      <c r="B17" s="192" t="s">
        <v>320</v>
      </c>
      <c r="C17" s="114">
        <v>23910191</v>
      </c>
      <c r="D17" s="115">
        <v>26267741</v>
      </c>
      <c r="E17" s="115">
        <f>86556913+724</f>
        <v>86557637</v>
      </c>
      <c r="F17" s="115">
        <f>136508071+227498</f>
        <v>136735569</v>
      </c>
      <c r="G17" s="314"/>
      <c r="H17" s="114">
        <f>193639818+1252392</f>
        <v>194892210</v>
      </c>
      <c r="I17" s="115">
        <f>252570780+1482637</f>
        <v>254053417</v>
      </c>
      <c r="J17" s="115">
        <f>3142759+219104036+437542</f>
        <v>222684337</v>
      </c>
      <c r="K17" s="115">
        <f>9620798+658836595+3172571</f>
        <v>671629964</v>
      </c>
      <c r="L17" s="314"/>
      <c r="M17" s="114">
        <f>75996216+5987661</f>
        <v>81983877</v>
      </c>
      <c r="N17" s="115">
        <f>80647507+3303624</f>
        <v>83951131</v>
      </c>
      <c r="O17" s="115">
        <f>1116469+65909790+13269997</f>
        <v>80296256</v>
      </c>
      <c r="P17" s="115">
        <f>10407754+191427428+44396082</f>
        <v>246231264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4</v>
      </c>
      <c r="AN17" s="253">
        <v>4</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80982809</v>
      </c>
      <c r="H19" s="347"/>
      <c r="I19" s="346"/>
      <c r="J19" s="346"/>
      <c r="K19" s="346"/>
      <c r="L19" s="107">
        <f>1637907+49929566</f>
        <v>51567473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11095566.569000002</v>
      </c>
      <c r="H20" s="292"/>
      <c r="I20" s="288"/>
      <c r="J20" s="288"/>
      <c r="K20" s="288"/>
      <c r="L20" s="116">
        <f>200821+6678395</f>
        <v>6879216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0.9</v>
      </c>
      <c r="H21" s="292"/>
      <c r="I21" s="288"/>
      <c r="J21" s="288"/>
      <c r="K21" s="288"/>
      <c r="L21" s="255">
        <v>0.86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3.04E-2</v>
      </c>
      <c r="H22" s="292"/>
      <c r="I22" s="288"/>
      <c r="J22" s="288"/>
      <c r="K22" s="288"/>
      <c r="L22" s="139">
        <v>4.1299999999999996E-2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5433191</v>
      </c>
      <c r="H23" s="292"/>
      <c r="I23" s="288"/>
      <c r="J23" s="288"/>
      <c r="K23" s="288"/>
      <c r="L23" s="116">
        <f>175955+4137924</f>
        <v>4313879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-2124889</v>
      </c>
      <c r="H24" s="292"/>
      <c r="I24" s="288"/>
      <c r="J24" s="288"/>
      <c r="K24" s="288"/>
      <c r="L24" s="116">
        <f>1427444+120686</f>
        <v>1548130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5433191</v>
      </c>
      <c r="H25" s="292"/>
      <c r="I25" s="288"/>
      <c r="J25" s="288"/>
      <c r="K25" s="288"/>
      <c r="L25" s="116">
        <f>4137924+175955</f>
        <v>4313879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23494652</v>
      </c>
      <c r="H26" s="292"/>
      <c r="I26" s="288"/>
      <c r="J26" s="288"/>
      <c r="K26" s="288"/>
      <c r="L26" s="116">
        <f>14434722+504509</f>
        <v>14939231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23494652</v>
      </c>
      <c r="H27" s="292"/>
      <c r="I27" s="288"/>
      <c r="J27" s="288"/>
      <c r="K27" s="288"/>
      <c r="L27" s="116">
        <f>14434722+504509</f>
        <v>14939231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27691178</v>
      </c>
      <c r="H28" s="292"/>
      <c r="I28" s="288"/>
      <c r="J28" s="288"/>
      <c r="K28" s="288"/>
      <c r="L28" s="116">
        <f>17622346+636788</f>
        <v>18259134</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24956592</v>
      </c>
      <c r="H29" s="292"/>
      <c r="I29" s="288"/>
      <c r="J29" s="288"/>
      <c r="K29" s="288"/>
      <c r="L29" s="116">
        <f>519615+15225484</f>
        <v>15745099</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73424730</v>
      </c>
      <c r="H30" s="292"/>
      <c r="I30" s="288"/>
      <c r="J30" s="288"/>
      <c r="K30" s="288"/>
      <c r="L30" s="116">
        <f>47219086+1582637</f>
        <v>48801723</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23494652</v>
      </c>
      <c r="H31" s="292"/>
      <c r="I31" s="288"/>
      <c r="J31" s="288"/>
      <c r="K31" s="288"/>
      <c r="L31" s="116">
        <f>14343722+504509</f>
        <v>14848231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73424730</v>
      </c>
      <c r="H32" s="292"/>
      <c r="I32" s="288"/>
      <c r="J32" s="288"/>
      <c r="K32" s="288"/>
      <c r="L32" s="116">
        <f>47219086+1582637</f>
        <v>48801723</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1.103</v>
      </c>
      <c r="H33" s="354"/>
      <c r="I33" s="355"/>
      <c r="J33" s="355"/>
      <c r="K33" s="355"/>
      <c r="L33" s="375">
        <v>1.0569999999999999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3182899</v>
      </c>
      <c r="H34" s="292"/>
      <c r="I34" s="288"/>
      <c r="J34" s="288"/>
      <c r="K34" s="288"/>
      <c r="L34" s="116">
        <f>646954+11375</f>
        <v>658329</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2945649</v>
      </c>
      <c r="H35" s="292"/>
      <c r="I35" s="288"/>
      <c r="J35" s="288"/>
      <c r="K35" s="288"/>
      <c r="L35" s="116">
        <v>138745</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4634</v>
      </c>
      <c r="D37" s="122">
        <v>4508</v>
      </c>
      <c r="E37" s="256">
        <v>21513.166666666668</v>
      </c>
      <c r="F37" s="256">
        <v>30638</v>
      </c>
      <c r="G37" s="312"/>
      <c r="H37" s="121">
        <f>44812+209</f>
        <v>45021</v>
      </c>
      <c r="I37" s="122">
        <f>55875+247</f>
        <v>56122</v>
      </c>
      <c r="J37" s="256">
        <f>42725+754</f>
        <v>43479</v>
      </c>
      <c r="K37" s="256">
        <f>141999+2167</f>
        <v>144166</v>
      </c>
      <c r="L37" s="312"/>
      <c r="M37" s="121">
        <f>15424+1026</f>
        <v>16450</v>
      </c>
      <c r="N37" s="122">
        <f>16247+461</f>
        <v>16708</v>
      </c>
      <c r="O37" s="256">
        <f>137+12613+2365</f>
        <v>15115</v>
      </c>
      <c r="P37" s="256">
        <f>1624+38300+8349</f>
        <v>48273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1.5097893333333334E-2</v>
      </c>
      <c r="G38" s="353"/>
      <c r="H38" s="351"/>
      <c r="I38" s="352"/>
      <c r="J38" s="352"/>
      <c r="K38" s="267">
        <v>0</v>
      </c>
      <c r="L38" s="353"/>
      <c r="M38" s="351"/>
      <c r="N38" s="352"/>
      <c r="O38" s="352"/>
      <c r="P38" s="267">
        <v>1.3871973333333334E-2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1.5097893333333334E-2</v>
      </c>
      <c r="G41" s="311"/>
      <c r="H41" s="292"/>
      <c r="I41" s="288"/>
      <c r="J41" s="288"/>
      <c r="K41" s="260">
        <v>0</v>
      </c>
      <c r="L41" s="311"/>
      <c r="M41" s="292"/>
      <c r="N41" s="288"/>
      <c r="O41" s="288"/>
      <c r="P41" s="260">
        <v>1.3871973333333334E-2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0.89481344520840078</v>
      </c>
      <c r="D44" s="260">
        <v>0.94758555728021132</v>
      </c>
      <c r="E44" s="260">
        <v>1.0489999999999999</v>
      </c>
      <c r="F44" s="260">
        <v>1.0029999999999999</v>
      </c>
      <c r="G44" s="311"/>
      <c r="H44" s="262">
        <v>0.86239745016744052</v>
      </c>
      <c r="I44" s="260">
        <v>0.85757936189302963</v>
      </c>
      <c r="J44" s="260">
        <v>0.86599999999999999</v>
      </c>
      <c r="K44" s="260">
        <v>0.86199999999999999</v>
      </c>
      <c r="L44" s="311"/>
      <c r="M44" s="262">
        <v>0.86871499412459241</v>
      </c>
      <c r="N44" s="260">
        <v>0.85794983796602853</v>
      </c>
      <c r="O44" s="260">
        <v>0.86599999999999999</v>
      </c>
      <c r="P44" s="260">
        <v>0.86399999999999999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580</v>
      </c>
      <c r="R45" s="260" t="s">
        <v>580</v>
      </c>
      <c r="S45" s="260" t="s">
        <v>580</v>
      </c>
      <c r="T45" s="260" t="s">
        <v>580</v>
      </c>
      <c r="U45" s="262" t="s">
        <v>580</v>
      </c>
      <c r="V45" s="260" t="s">
        <v>580</v>
      </c>
      <c r="W45" s="260" t="s">
        <v>580</v>
      </c>
      <c r="X45" s="260" t="s">
        <v>580</v>
      </c>
      <c r="Y45" s="262" t="s">
        <v>580</v>
      </c>
      <c r="Z45" s="260" t="s">
        <v>580</v>
      </c>
      <c r="AA45" s="260" t="s">
        <v>580</v>
      </c>
      <c r="AB45" s="260" t="s">
        <v>580</v>
      </c>
      <c r="AC45" s="292"/>
      <c r="AD45" s="288"/>
      <c r="AE45" s="288"/>
      <c r="AF45" s="288"/>
      <c r="AG45" s="292"/>
      <c r="AH45" s="288"/>
      <c r="AI45" s="288"/>
      <c r="AJ45" s="288"/>
      <c r="AK45" s="292"/>
      <c r="AL45" s="260" t="s">
        <v>580</v>
      </c>
      <c r="AM45" s="260" t="s">
        <v>580</v>
      </c>
      <c r="AN45" s="261" t="s">
        <v>580</v>
      </c>
    </row>
    <row r="46" spans="1:40" x14ac:dyDescent="0.2">
      <c r="B46" s="197" t="s">
        <v>330</v>
      </c>
      <c r="C46" s="292"/>
      <c r="D46" s="288"/>
      <c r="E46" s="288"/>
      <c r="F46" s="260">
        <v>1.5097893333333334E-2</v>
      </c>
      <c r="G46" s="311"/>
      <c r="H46" s="292"/>
      <c r="I46" s="288"/>
      <c r="J46" s="288"/>
      <c r="K46" s="260">
        <v>0</v>
      </c>
      <c r="L46" s="311"/>
      <c r="M46" s="292"/>
      <c r="N46" s="288"/>
      <c r="O46" s="288"/>
      <c r="P46" s="260">
        <v>1.3871973333333334E-2</v>
      </c>
      <c r="Q46" s="293"/>
      <c r="R46" s="289"/>
      <c r="S46" s="289"/>
      <c r="T46" s="260" t="s">
        <v>580</v>
      </c>
      <c r="U46" s="293"/>
      <c r="V46" s="289"/>
      <c r="W46" s="289"/>
      <c r="X46" s="260" t="s">
        <v>580</v>
      </c>
      <c r="Y46" s="293"/>
      <c r="Z46" s="289"/>
      <c r="AA46" s="289"/>
      <c r="AB46" s="260" t="s">
        <v>580</v>
      </c>
      <c r="AC46" s="292"/>
      <c r="AD46" s="288"/>
      <c r="AE46" s="288"/>
      <c r="AF46" s="288"/>
      <c r="AG46" s="292"/>
      <c r="AH46" s="288"/>
      <c r="AI46" s="288"/>
      <c r="AJ46" s="288"/>
      <c r="AK46" s="292"/>
      <c r="AL46" s="289"/>
      <c r="AM46" s="289"/>
      <c r="AN46" s="261" t="s">
        <v>580</v>
      </c>
    </row>
    <row r="47" spans="1:40" s="76" customFormat="1" x14ac:dyDescent="0.2">
      <c r="A47" s="143"/>
      <c r="B47" s="199" t="s">
        <v>329</v>
      </c>
      <c r="C47" s="292"/>
      <c r="D47" s="288"/>
      <c r="E47" s="288"/>
      <c r="F47" s="260">
        <v>1.018</v>
      </c>
      <c r="G47" s="311"/>
      <c r="H47" s="292"/>
      <c r="I47" s="288"/>
      <c r="J47" s="288"/>
      <c r="K47" s="260">
        <v>0.86199999999999999</v>
      </c>
      <c r="L47" s="311"/>
      <c r="M47" s="292"/>
      <c r="N47" s="288"/>
      <c r="O47" s="288"/>
      <c r="P47" s="260">
        <v>0.878</v>
      </c>
      <c r="Q47" s="292"/>
      <c r="R47" s="288"/>
      <c r="S47" s="288"/>
      <c r="T47" s="260" t="s">
        <v>580</v>
      </c>
      <c r="U47" s="292"/>
      <c r="V47" s="288"/>
      <c r="W47" s="288"/>
      <c r="X47" s="260" t="s">
        <v>580</v>
      </c>
      <c r="Y47" s="292"/>
      <c r="Z47" s="288"/>
      <c r="AA47" s="288"/>
      <c r="AB47" s="260" t="s">
        <v>580</v>
      </c>
      <c r="AC47" s="292"/>
      <c r="AD47" s="288"/>
      <c r="AE47" s="288"/>
      <c r="AF47" s="288"/>
      <c r="AG47" s="292"/>
      <c r="AH47" s="288"/>
      <c r="AI47" s="288"/>
      <c r="AJ47" s="288"/>
      <c r="AK47" s="292"/>
      <c r="AL47" s="288"/>
      <c r="AM47" s="288"/>
      <c r="AN47" s="261" t="s">
        <v>580</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580</v>
      </c>
      <c r="R49" s="141" t="s">
        <v>580</v>
      </c>
      <c r="S49" s="141" t="s">
        <v>580</v>
      </c>
      <c r="T49" s="141" t="s">
        <v>580</v>
      </c>
      <c r="U49" s="140" t="s">
        <v>580</v>
      </c>
      <c r="V49" s="141" t="s">
        <v>580</v>
      </c>
      <c r="W49" s="141" t="s">
        <v>580</v>
      </c>
      <c r="X49" s="141" t="s">
        <v>580</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1.018</v>
      </c>
      <c r="G50" s="311"/>
      <c r="H50" s="293"/>
      <c r="I50" s="289"/>
      <c r="J50" s="289"/>
      <c r="K50" s="260">
        <v>0.86199999999999999</v>
      </c>
      <c r="L50" s="311"/>
      <c r="M50" s="293"/>
      <c r="N50" s="289"/>
      <c r="O50" s="289"/>
      <c r="P50" s="260">
        <v>0.878</v>
      </c>
      <c r="Q50" s="293"/>
      <c r="R50" s="289"/>
      <c r="S50" s="289"/>
      <c r="T50" s="260" t="s">
        <v>580</v>
      </c>
      <c r="U50" s="293"/>
      <c r="V50" s="289"/>
      <c r="W50" s="289"/>
      <c r="X50" s="260" t="s">
        <v>580</v>
      </c>
      <c r="Y50" s="293"/>
      <c r="Z50" s="289"/>
      <c r="AA50" s="289"/>
      <c r="AB50" s="260" t="s">
        <v>580</v>
      </c>
      <c r="AC50" s="292"/>
      <c r="AD50" s="288"/>
      <c r="AE50" s="288"/>
      <c r="AF50" s="288"/>
      <c r="AG50" s="292"/>
      <c r="AH50" s="288"/>
      <c r="AI50" s="288"/>
      <c r="AJ50" s="288"/>
      <c r="AK50" s="292"/>
      <c r="AL50" s="289"/>
      <c r="AM50" s="289"/>
      <c r="AN50" s="261" t="s">
        <v>580</v>
      </c>
    </row>
    <row r="51" spans="1:40" x14ac:dyDescent="0.2">
      <c r="B51" s="195" t="s">
        <v>334</v>
      </c>
      <c r="C51" s="292"/>
      <c r="D51" s="288"/>
      <c r="E51" s="288"/>
      <c r="F51" s="115">
        <v>86556913</v>
      </c>
      <c r="G51" s="311"/>
      <c r="H51" s="292"/>
      <c r="I51" s="288"/>
      <c r="J51" s="288"/>
      <c r="K51" s="115">
        <f>219104036+3142759</f>
        <v>222246795</v>
      </c>
      <c r="L51" s="311"/>
      <c r="M51" s="292"/>
      <c r="N51" s="288"/>
      <c r="O51" s="288"/>
      <c r="P51" s="115">
        <f>1116469+65909790+13269997</f>
        <v>80296256</v>
      </c>
      <c r="Q51" s="292"/>
      <c r="R51" s="288"/>
      <c r="S51" s="288"/>
      <c r="T51" s="115" t="s">
        <v>580</v>
      </c>
      <c r="U51" s="292"/>
      <c r="V51" s="288"/>
      <c r="W51" s="288"/>
      <c r="X51" s="115" t="s">
        <v>580</v>
      </c>
      <c r="Y51" s="292"/>
      <c r="Z51" s="288"/>
      <c r="AA51" s="288"/>
      <c r="AB51" s="115" t="s">
        <v>580</v>
      </c>
      <c r="AC51" s="292"/>
      <c r="AD51" s="288"/>
      <c r="AE51" s="288"/>
      <c r="AF51" s="288"/>
      <c r="AG51" s="292"/>
      <c r="AH51" s="288"/>
      <c r="AI51" s="288"/>
      <c r="AJ51" s="288"/>
      <c r="AK51" s="292"/>
      <c r="AL51" s="288"/>
      <c r="AM51" s="288"/>
      <c r="AN51" s="253" t="s">
        <v>580</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92667</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574" yWindow="228"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16881</v>
      </c>
      <c r="D4" s="149">
        <v>12676</v>
      </c>
      <c r="E4" s="149">
        <v>6928</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92667</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570</v>
      </c>
      <c r="C8" s="28"/>
      <c r="D8" s="29"/>
      <c r="E8" s="29"/>
      <c r="F8" s="29"/>
      <c r="G8" s="29"/>
      <c r="H8" s="29"/>
      <c r="I8" s="27"/>
      <c r="J8" s="27"/>
      <c r="K8" s="2"/>
    </row>
    <row r="9" spans="1:12" s="5" customFormat="1" ht="18" customHeight="1" x14ac:dyDescent="0.2">
      <c r="B9" s="66" t="s">
        <v>571</v>
      </c>
      <c r="C9" s="28"/>
      <c r="D9" s="29"/>
      <c r="E9" s="29"/>
      <c r="F9" s="29"/>
      <c r="G9" s="29"/>
      <c r="H9" s="29"/>
      <c r="I9" s="27"/>
      <c r="J9" s="27"/>
      <c r="K9" s="2"/>
    </row>
    <row r="10" spans="1:12" s="5" customFormat="1" ht="18" customHeight="1" x14ac:dyDescent="0.2">
      <c r="B10" s="66" t="s">
        <v>581</v>
      </c>
      <c r="C10" s="28"/>
      <c r="D10" s="29"/>
      <c r="E10" s="29"/>
      <c r="F10" s="29"/>
      <c r="G10" s="29"/>
      <c r="H10" s="29"/>
      <c r="I10" s="27"/>
      <c r="J10" s="27"/>
      <c r="K10" s="2"/>
    </row>
    <row r="11" spans="1:12" s="5" customFormat="1" ht="18" customHeight="1" x14ac:dyDescent="0.2">
      <c r="B11" s="66" t="s">
        <v>573</v>
      </c>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582</v>
      </c>
      <c r="C22" s="29"/>
      <c r="D22" s="29"/>
      <c r="E22" s="29"/>
      <c r="F22" s="29"/>
      <c r="G22" s="29"/>
      <c r="H22" s="29"/>
      <c r="I22" s="29"/>
      <c r="J22" s="29"/>
    </row>
    <row r="23" spans="2:11" s="5" customFormat="1" ht="19.149999999999999" customHeight="1" x14ac:dyDescent="0.2">
      <c r="B23" s="66" t="s">
        <v>572</v>
      </c>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502</v>
      </c>
      <c r="C5" s="150"/>
      <c r="D5" s="221" t="s">
        <v>560</v>
      </c>
      <c r="E5" s="7"/>
    </row>
    <row r="6" spans="1:5" ht="35.25" customHeight="1" x14ac:dyDescent="0.2">
      <c r="B6" s="219"/>
      <c r="C6" s="150"/>
      <c r="D6" s="222" t="s">
        <v>503</v>
      </c>
      <c r="E6" s="7"/>
    </row>
    <row r="7" spans="1:5" ht="35.25" customHeight="1" x14ac:dyDescent="0.2">
      <c r="B7" s="219"/>
      <c r="C7" s="150"/>
      <c r="D7" s="222" t="s">
        <v>504</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505</v>
      </c>
      <c r="C27" s="150"/>
      <c r="D27" s="223" t="s">
        <v>568</v>
      </c>
      <c r="E27" s="7"/>
    </row>
    <row r="28" spans="2:5" ht="35.25" customHeight="1" x14ac:dyDescent="0.2">
      <c r="B28" s="219"/>
      <c r="C28" s="150"/>
      <c r="D28" s="222" t="s">
        <v>577</v>
      </c>
      <c r="E28" s="7"/>
    </row>
    <row r="29" spans="2:5" ht="35.25" customHeight="1" x14ac:dyDescent="0.2">
      <c r="B29" s="219"/>
      <c r="C29" s="150"/>
      <c r="D29" s="222" t="s">
        <v>561</v>
      </c>
      <c r="E29" s="7"/>
    </row>
    <row r="30" spans="2:5" ht="35.25" customHeight="1" x14ac:dyDescent="0.2">
      <c r="B30" s="219" t="s">
        <v>562</v>
      </c>
      <c r="C30" s="150"/>
      <c r="D30" s="222" t="s">
        <v>563</v>
      </c>
      <c r="E30" s="7"/>
    </row>
    <row r="31" spans="2:5" ht="35.25" customHeight="1" x14ac:dyDescent="0.2">
      <c r="B31" s="219" t="s">
        <v>564</v>
      </c>
      <c r="C31" s="150"/>
      <c r="D31" s="222" t="s">
        <v>565</v>
      </c>
      <c r="E31" s="7"/>
    </row>
    <row r="32" spans="2:5" ht="35.25" customHeight="1" x14ac:dyDescent="0.2">
      <c r="B32" s="219" t="s">
        <v>566</v>
      </c>
      <c r="C32" s="150"/>
      <c r="D32" s="222" t="s">
        <v>567</v>
      </c>
      <c r="E32" s="7"/>
    </row>
    <row r="33" spans="2:5" ht="15" x14ac:dyDescent="0.25">
      <c r="B33" s="280" t="s">
        <v>68</v>
      </c>
      <c r="C33" s="281"/>
      <c r="D33" s="282"/>
      <c r="E33" s="7"/>
    </row>
    <row r="34" spans="2:5" ht="35.25" customHeight="1" x14ac:dyDescent="0.2">
      <c r="B34" s="219" t="s">
        <v>506</v>
      </c>
      <c r="C34" s="150"/>
      <c r="D34" s="222" t="s">
        <v>507</v>
      </c>
      <c r="E34" s="7"/>
    </row>
    <row r="35" spans="2:5" ht="35.25" customHeight="1" x14ac:dyDescent="0.2">
      <c r="B35" s="219"/>
      <c r="C35" s="150"/>
      <c r="D35" s="222" t="s">
        <v>508</v>
      </c>
      <c r="E35" s="7"/>
    </row>
    <row r="36" spans="2:5" ht="35.25" customHeight="1" x14ac:dyDescent="0.2">
      <c r="B36" s="219"/>
      <c r="C36" s="150"/>
      <c r="D36" s="222" t="s">
        <v>509</v>
      </c>
      <c r="E36" s="7"/>
    </row>
    <row r="37" spans="2:5" ht="35.25" customHeight="1" x14ac:dyDescent="0.2">
      <c r="B37" s="219"/>
      <c r="C37" s="150"/>
      <c r="D37" s="222" t="s">
        <v>510</v>
      </c>
      <c r="E37" s="7"/>
    </row>
    <row r="38" spans="2:5" ht="35.25" customHeight="1" x14ac:dyDescent="0.2">
      <c r="B38" s="219"/>
      <c r="C38" s="150"/>
      <c r="D38" s="222" t="s">
        <v>511</v>
      </c>
      <c r="E38" s="7"/>
    </row>
    <row r="39" spans="2:5" ht="35.25" customHeight="1" x14ac:dyDescent="0.2">
      <c r="B39" s="219"/>
      <c r="C39" s="151"/>
      <c r="D39" s="222" t="s">
        <v>512</v>
      </c>
      <c r="E39" s="7"/>
    </row>
    <row r="40" spans="2:5" ht="15" x14ac:dyDescent="0.25">
      <c r="B40" s="280" t="s">
        <v>126</v>
      </c>
      <c r="C40" s="281"/>
      <c r="D40" s="282"/>
      <c r="E40" s="7"/>
    </row>
    <row r="41" spans="2:5" ht="35.25" customHeight="1" x14ac:dyDescent="0.2">
      <c r="B41" s="219" t="s">
        <v>513</v>
      </c>
      <c r="C41" s="150"/>
      <c r="D41" s="222" t="s">
        <v>514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515</v>
      </c>
      <c r="C48" s="150"/>
      <c r="D48" s="222" t="s">
        <v>514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516</v>
      </c>
      <c r="C56" s="152"/>
      <c r="D56" s="222" t="s">
        <v>569</v>
      </c>
      <c r="E56" s="7"/>
    </row>
    <row r="57" spans="2:5" ht="35.25" customHeight="1" x14ac:dyDescent="0.2">
      <c r="B57" s="219"/>
      <c r="C57" s="152"/>
      <c r="D57" s="222" t="s">
        <v>517</v>
      </c>
      <c r="E57" s="7"/>
    </row>
    <row r="58" spans="2:5" ht="35.25" customHeight="1" x14ac:dyDescent="0.2">
      <c r="B58" s="219"/>
      <c r="C58" s="152"/>
      <c r="D58" s="222" t="s">
        <v>518</v>
      </c>
      <c r="E58" s="7"/>
    </row>
    <row r="59" spans="2:5" ht="35.25" customHeight="1" x14ac:dyDescent="0.2">
      <c r="B59" s="219"/>
      <c r="C59" s="152"/>
      <c r="D59" s="222" t="s">
        <v>519</v>
      </c>
      <c r="E59" s="7"/>
    </row>
    <row r="60" spans="2:5" ht="35.25" customHeight="1" x14ac:dyDescent="0.2">
      <c r="B60" s="219"/>
      <c r="C60" s="152"/>
      <c r="D60" s="222" t="s">
        <v>520</v>
      </c>
      <c r="E60" s="7"/>
    </row>
    <row r="61" spans="2:5" ht="35.25" customHeight="1" x14ac:dyDescent="0.2">
      <c r="B61" s="219"/>
      <c r="C61" s="152"/>
      <c r="D61" s="222" t="s">
        <v>521</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522</v>
      </c>
      <c r="C67" s="152"/>
      <c r="D67" s="222" t="s">
        <v>523</v>
      </c>
      <c r="E67" s="7"/>
    </row>
    <row r="68" spans="2:5" ht="35.25" customHeight="1" x14ac:dyDescent="0.2">
      <c r="B68" s="219"/>
      <c r="C68" s="152"/>
      <c r="D68" s="222" t="s">
        <v>524</v>
      </c>
      <c r="E68" s="7"/>
    </row>
    <row r="69" spans="2:5" ht="35.25" customHeight="1" x14ac:dyDescent="0.2">
      <c r="B69" s="219"/>
      <c r="C69" s="152"/>
      <c r="D69" s="222" t="s">
        <v>525</v>
      </c>
      <c r="E69" s="7"/>
    </row>
    <row r="70" spans="2:5" ht="35.25" customHeight="1" x14ac:dyDescent="0.2">
      <c r="B70" s="219"/>
      <c r="C70" s="152"/>
      <c r="D70" s="222" t="s">
        <v>526</v>
      </c>
      <c r="E70" s="7"/>
    </row>
    <row r="71" spans="2:5" ht="35.25" customHeight="1" x14ac:dyDescent="0.2">
      <c r="B71" s="219"/>
      <c r="C71" s="152"/>
      <c r="D71" s="222" t="s">
        <v>512</v>
      </c>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527</v>
      </c>
      <c r="C78" s="152"/>
      <c r="D78" s="222" t="s">
        <v>528</v>
      </c>
      <c r="E78" s="7"/>
    </row>
    <row r="79" spans="2:5" ht="35.25" customHeight="1" x14ac:dyDescent="0.2">
      <c r="B79" s="219"/>
      <c r="C79" s="152"/>
      <c r="D79" s="222" t="s">
        <v>529</v>
      </c>
      <c r="E79" s="7"/>
    </row>
    <row r="80" spans="2:5" ht="35.25" customHeight="1" x14ac:dyDescent="0.2">
      <c r="B80" s="219"/>
      <c r="C80" s="152"/>
      <c r="D80" s="222" t="s">
        <v>530</v>
      </c>
      <c r="E80" s="7"/>
    </row>
    <row r="81" spans="2:5" ht="35.25" customHeight="1" x14ac:dyDescent="0.2">
      <c r="B81" s="219"/>
      <c r="C81" s="152"/>
      <c r="D81" s="222" t="s">
        <v>531</v>
      </c>
      <c r="E81" s="7"/>
    </row>
    <row r="82" spans="2:5" ht="35.25" customHeight="1" x14ac:dyDescent="0.2">
      <c r="B82" s="219"/>
      <c r="C82" s="152"/>
      <c r="D82" s="222" t="s">
        <v>525</v>
      </c>
      <c r="E82" s="7"/>
    </row>
    <row r="83" spans="2:5" ht="35.25" customHeight="1" x14ac:dyDescent="0.2">
      <c r="B83" s="219"/>
      <c r="C83" s="152"/>
      <c r="D83" s="222" t="s">
        <v>532</v>
      </c>
      <c r="E83" s="7"/>
    </row>
    <row r="84" spans="2:5" ht="35.25" customHeight="1" x14ac:dyDescent="0.2">
      <c r="B84" s="219"/>
      <c r="C84" s="152"/>
      <c r="D84" s="222" t="s">
        <v>533</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534</v>
      </c>
      <c r="C89" s="152"/>
      <c r="D89" s="222" t="s">
        <v>535</v>
      </c>
      <c r="E89" s="7"/>
    </row>
    <row r="90" spans="2:5" ht="35.25" customHeight="1" x14ac:dyDescent="0.2">
      <c r="B90" s="219"/>
      <c r="C90" s="152"/>
      <c r="D90" s="222" t="s">
        <v>536</v>
      </c>
      <c r="E90" s="7"/>
    </row>
    <row r="91" spans="2:5" ht="35.25" customHeight="1" x14ac:dyDescent="0.2">
      <c r="B91" s="219"/>
      <c r="C91" s="152"/>
      <c r="D91" s="222" t="s">
        <v>578</v>
      </c>
      <c r="E91" s="7"/>
    </row>
    <row r="92" spans="2:5" ht="35.25" customHeight="1" x14ac:dyDescent="0.2">
      <c r="B92" s="219"/>
      <c r="C92" s="152"/>
      <c r="D92" s="222" t="s">
        <v>537</v>
      </c>
      <c r="E92" s="7"/>
    </row>
    <row r="93" spans="2:5" ht="35.25" customHeight="1" x14ac:dyDescent="0.2">
      <c r="B93" s="219"/>
      <c r="C93" s="152"/>
      <c r="D93" s="222" t="s">
        <v>538</v>
      </c>
      <c r="E93" s="7"/>
    </row>
    <row r="94" spans="2:5" ht="35.25" customHeight="1" x14ac:dyDescent="0.2">
      <c r="B94" s="219"/>
      <c r="C94" s="152"/>
      <c r="D94" s="222" t="s">
        <v>512</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539</v>
      </c>
      <c r="C100" s="152"/>
      <c r="D100" s="222" t="s">
        <v>540</v>
      </c>
      <c r="E100" s="7"/>
    </row>
    <row r="101" spans="2:5" ht="35.25" customHeight="1" x14ac:dyDescent="0.2">
      <c r="B101" s="219"/>
      <c r="C101" s="152"/>
      <c r="D101" s="222" t="s">
        <v>541</v>
      </c>
      <c r="E101" s="7"/>
    </row>
    <row r="102" spans="2:5" ht="35.25" customHeight="1" x14ac:dyDescent="0.2">
      <c r="B102" s="219"/>
      <c r="C102" s="152"/>
      <c r="D102" s="222" t="s">
        <v>574</v>
      </c>
      <c r="E102" s="7"/>
    </row>
    <row r="103" spans="2:5" ht="35.25" customHeight="1" x14ac:dyDescent="0.2">
      <c r="B103" s="219"/>
      <c r="C103" s="152"/>
      <c r="D103" s="222" t="s">
        <v>542</v>
      </c>
      <c r="E103" s="7"/>
    </row>
    <row r="104" spans="2:5" ht="35.25" customHeight="1" x14ac:dyDescent="0.2">
      <c r="B104" s="219"/>
      <c r="C104" s="152"/>
      <c r="D104" s="222" t="s">
        <v>543</v>
      </c>
      <c r="E104" s="7"/>
    </row>
    <row r="105" spans="2:5" ht="35.25" customHeight="1" x14ac:dyDescent="0.2">
      <c r="B105" s="219"/>
      <c r="C105" s="152"/>
      <c r="D105" s="222" t="s">
        <v>579</v>
      </c>
      <c r="E105" s="7"/>
    </row>
    <row r="106" spans="2:5" ht="35.25" customHeight="1" x14ac:dyDescent="0.2">
      <c r="B106" s="219"/>
      <c r="C106" s="152"/>
      <c r="D106" s="222" t="s">
        <v>544</v>
      </c>
      <c r="E106" s="7"/>
    </row>
    <row r="107" spans="2:5" ht="35.25" customHeight="1" x14ac:dyDescent="0.2">
      <c r="B107" s="219"/>
      <c r="C107" s="152"/>
      <c r="D107" s="222" t="s">
        <v>545</v>
      </c>
      <c r="E107" s="7"/>
    </row>
    <row r="108" spans="2:5" ht="35.25" customHeight="1" x14ac:dyDescent="0.2">
      <c r="B108" s="219"/>
      <c r="C108" s="152"/>
      <c r="D108" s="222" t="s">
        <v>546</v>
      </c>
      <c r="E108" s="7"/>
    </row>
    <row r="109" spans="2:5" ht="35.25" customHeight="1" x14ac:dyDescent="0.2">
      <c r="B109" s="219"/>
      <c r="C109" s="152"/>
      <c r="D109" s="222" t="s">
        <v>547</v>
      </c>
      <c r="E109" s="7"/>
    </row>
    <row r="110" spans="2:5" s="5" customFormat="1" ht="15" x14ac:dyDescent="0.25">
      <c r="B110" s="280" t="s">
        <v>100</v>
      </c>
      <c r="C110" s="281"/>
      <c r="D110" s="282"/>
      <c r="E110" s="27"/>
    </row>
    <row r="111" spans="2:5" s="5" customFormat="1" ht="35.25" customHeight="1" x14ac:dyDescent="0.2">
      <c r="B111" s="219" t="s">
        <v>548</v>
      </c>
      <c r="C111" s="152"/>
      <c r="D111" s="222" t="s">
        <v>549</v>
      </c>
      <c r="E111" s="27"/>
    </row>
    <row r="112" spans="2:5" s="5" customFormat="1" ht="35.25" customHeight="1" x14ac:dyDescent="0.2">
      <c r="B112" s="219"/>
      <c r="C112" s="152"/>
      <c r="D112" s="222" t="s">
        <v>575</v>
      </c>
      <c r="E112" s="27"/>
    </row>
    <row r="113" spans="2:5" s="5" customFormat="1" ht="35.25" customHeight="1" x14ac:dyDescent="0.2">
      <c r="B113" s="219"/>
      <c r="C113" s="152"/>
      <c r="D113" s="222" t="s">
        <v>550</v>
      </c>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551</v>
      </c>
      <c r="C123" s="150"/>
      <c r="D123" s="222" t="s">
        <v>576</v>
      </c>
      <c r="E123" s="7"/>
    </row>
    <row r="124" spans="2:5" s="5" customFormat="1" ht="35.25" customHeight="1" x14ac:dyDescent="0.2">
      <c r="B124" s="219"/>
      <c r="C124" s="150"/>
      <c r="D124" s="222" t="s">
        <v>552</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553</v>
      </c>
      <c r="C134" s="150"/>
      <c r="D134" s="222" t="s">
        <v>576</v>
      </c>
      <c r="E134" s="27"/>
    </row>
    <row r="135" spans="2:5" s="5" customFormat="1" ht="35.25" customHeight="1" x14ac:dyDescent="0.2">
      <c r="B135" s="219"/>
      <c r="C135" s="150"/>
      <c r="D135" s="222" t="s">
        <v>552</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554</v>
      </c>
      <c r="C145" s="150"/>
      <c r="D145" s="222" t="s">
        <v>576</v>
      </c>
      <c r="E145" s="27"/>
    </row>
    <row r="146" spans="2:5" s="5" customFormat="1" ht="35.25" customHeight="1" x14ac:dyDescent="0.2">
      <c r="B146" s="219"/>
      <c r="C146" s="150"/>
      <c r="D146" s="222" t="s">
        <v>552</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555</v>
      </c>
      <c r="C156" s="150"/>
      <c r="D156" s="222" t="s">
        <v>576</v>
      </c>
      <c r="E156" s="27"/>
    </row>
    <row r="157" spans="2:5" s="5" customFormat="1" ht="35.25" customHeight="1" x14ac:dyDescent="0.2">
      <c r="B157" s="219"/>
      <c r="C157" s="150"/>
      <c r="D157" s="222" t="s">
        <v>552</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556</v>
      </c>
      <c r="C167" s="150"/>
      <c r="D167" s="222" t="s">
        <v>576</v>
      </c>
      <c r="E167" s="27"/>
    </row>
    <row r="168" spans="2:5" s="5" customFormat="1" ht="35.25" customHeight="1" x14ac:dyDescent="0.2">
      <c r="B168" s="219"/>
      <c r="C168" s="150"/>
      <c r="D168" s="222" t="s">
        <v>552</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557</v>
      </c>
      <c r="C178" s="150"/>
      <c r="D178" s="222" t="s">
        <v>576</v>
      </c>
      <c r="E178" s="27"/>
    </row>
    <row r="179" spans="2:5" s="5" customFormat="1" ht="35.25" customHeight="1" x14ac:dyDescent="0.2">
      <c r="B179" s="219"/>
      <c r="C179" s="150"/>
      <c r="D179" s="222" t="s">
        <v>552</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558</v>
      </c>
      <c r="C189" s="150"/>
      <c r="D189" s="222" t="s">
        <v>576</v>
      </c>
      <c r="E189" s="27"/>
    </row>
    <row r="190" spans="2:5" s="5" customFormat="1" ht="35.25" customHeight="1" x14ac:dyDescent="0.2">
      <c r="B190" s="219"/>
      <c r="C190" s="150"/>
      <c r="D190" s="222" t="s">
        <v>552</v>
      </c>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559</v>
      </c>
      <c r="C200" s="150"/>
      <c r="D200" s="222" t="s">
        <v>576</v>
      </c>
      <c r="E200" s="27"/>
    </row>
    <row r="201" spans="2:5" s="5" customFormat="1" ht="35.25" customHeight="1" x14ac:dyDescent="0.2">
      <c r="B201" s="219"/>
      <c r="C201" s="150"/>
      <c r="D201" s="222" t="s">
        <v>552</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c62ps51</cp:lastModifiedBy>
  <cp:lastPrinted>2015-07-28T19:20:31Z</cp:lastPrinted>
  <dcterms:created xsi:type="dcterms:W3CDTF">2012-03-15T16:14:51Z</dcterms:created>
  <dcterms:modified xsi:type="dcterms:W3CDTF">2015-07-30T16:21:37Z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