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5\Monthly closes\December\regulatory\MLR and RC\FINAL SUBMITTED VERSION\FINAL 2016-8-31\"/>
    </mc:Choice>
  </mc:AlternateContent>
  <workbookProtection lockStructure="1"/>
  <bookViews>
    <workbookView xWindow="0" yWindow="0" windowWidth="28800" windowHeight="1312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56" i="18" l="1"/>
  <c r="J56" i="18"/>
  <c r="E56" i="18"/>
  <c r="D56" i="18"/>
  <c r="O56" i="18" l="1"/>
  <c r="I58" i="18"/>
  <c r="I56" i="18"/>
  <c r="P52" i="10" l="1"/>
  <c r="F12" i="10"/>
  <c r="E12" i="10"/>
  <c r="E58" i="18"/>
  <c r="L19" i="10" l="1"/>
  <c r="J15" i="10"/>
  <c r="K12" i="10"/>
  <c r="J12" i="10"/>
  <c r="K6" i="10"/>
  <c r="J6" i="10"/>
  <c r="G19" i="10"/>
  <c r="E6" i="10"/>
  <c r="O54" i="18"/>
  <c r="K54" i="18"/>
  <c r="I54" i="18"/>
  <c r="E54" i="18"/>
  <c r="O27" i="18"/>
  <c r="K27" i="18"/>
  <c r="O24" i="18"/>
  <c r="K24" i="18"/>
  <c r="I27" i="18"/>
  <c r="E27" i="18"/>
  <c r="I24" i="18"/>
  <c r="E24" i="18"/>
  <c r="E31" i="4"/>
  <c r="O12" i="4"/>
  <c r="K12" i="4"/>
  <c r="I12" i="4"/>
  <c r="E12" i="4"/>
  <c r="O13" i="4" l="1"/>
  <c r="K13" i="4"/>
  <c r="K15" i="4"/>
  <c r="K37" i="4"/>
  <c r="K40" i="4"/>
  <c r="K44" i="4"/>
  <c r="K45" i="4"/>
  <c r="K46" i="4"/>
  <c r="K49" i="4"/>
  <c r="K51" i="4"/>
  <c r="J51" i="4"/>
  <c r="J49" i="4"/>
  <c r="J45" i="4"/>
  <c r="J44" i="4"/>
  <c r="J40" i="4"/>
  <c r="J13" i="4"/>
  <c r="J12" i="4"/>
  <c r="I51" i="4"/>
  <c r="I49" i="4"/>
  <c r="I47" i="4"/>
  <c r="I45" i="4"/>
  <c r="I40" i="4"/>
  <c r="I34" i="4"/>
  <c r="I15" i="4"/>
  <c r="I13" i="4"/>
  <c r="I5" i="4"/>
  <c r="E51" i="4"/>
  <c r="E49" i="4"/>
  <c r="E47" i="4"/>
  <c r="E46" i="4"/>
  <c r="E45" i="4"/>
  <c r="E44" i="4"/>
  <c r="E26" i="4"/>
  <c r="E15" i="4"/>
  <c r="E13" i="4"/>
  <c r="E5" i="4"/>
  <c r="D51" i="4"/>
  <c r="D49" i="4"/>
  <c r="D47" i="4"/>
  <c r="D46" i="4"/>
  <c r="D45" i="4"/>
  <c r="D37" i="4"/>
  <c r="D34" i="4"/>
  <c r="D26" i="4"/>
  <c r="D16" i="4"/>
  <c r="D15" i="4"/>
  <c r="D13" i="4"/>
  <c r="D12" i="4"/>
  <c r="D5" i="4"/>
  <c r="O5" i="18"/>
  <c r="J54" i="18"/>
  <c r="J26" i="18"/>
  <c r="J23" i="18"/>
  <c r="J18" i="18"/>
  <c r="J16" i="18"/>
  <c r="I18" i="18"/>
  <c r="I15" i="18"/>
  <c r="E15" i="18"/>
  <c r="D54" i="18"/>
  <c r="D26" i="18"/>
  <c r="D23" i="18"/>
  <c r="D20" i="18"/>
  <c r="D18" i="18"/>
  <c r="D16" i="18"/>
  <c r="D15" i="18"/>
  <c r="D5" i="18"/>
  <c r="L36" i="10"/>
  <c r="L35" i="10"/>
  <c r="L33" i="10"/>
  <c r="L32" i="10"/>
  <c r="L31" i="10"/>
  <c r="L30" i="10"/>
  <c r="L29" i="10"/>
  <c r="L28" i="10"/>
  <c r="L27" i="10"/>
  <c r="L26" i="10"/>
  <c r="L25" i="10"/>
  <c r="L24" i="10"/>
  <c r="L23" i="10"/>
  <c r="L22" i="10"/>
  <c r="L21" i="10"/>
  <c r="L20" i="10"/>
  <c r="J17" i="10"/>
  <c r="J16" i="10"/>
  <c r="J7" i="10"/>
  <c r="L6" i="10"/>
  <c r="F47" i="10"/>
  <c r="E38" i="10"/>
  <c r="G36" i="10"/>
  <c r="G35" i="10"/>
  <c r="G33" i="10"/>
  <c r="G32" i="10"/>
  <c r="G31" i="10"/>
  <c r="G30" i="10"/>
  <c r="G29" i="10"/>
  <c r="G28" i="10"/>
  <c r="G27" i="10"/>
  <c r="G26" i="10"/>
  <c r="G25" i="10"/>
  <c r="G24" i="10"/>
  <c r="G23" i="10"/>
  <c r="G22" i="10"/>
  <c r="G21" i="10"/>
  <c r="G20" i="10"/>
  <c r="E17" i="10"/>
  <c r="E16" i="10"/>
  <c r="E15" i="10"/>
  <c r="E45" i="10"/>
  <c r="E10" i="10"/>
  <c r="E9" i="10"/>
  <c r="E8" i="10"/>
  <c r="E7" i="10"/>
  <c r="F6" i="10"/>
  <c r="G6" i="10" s="1"/>
  <c r="E16" i="18" l="1"/>
  <c r="G34" i="10"/>
  <c r="D4" i="16" l="1"/>
  <c r="C4" i="16"/>
  <c r="F17" i="10" l="1"/>
  <c r="E5" i="18"/>
  <c r="O60" i="4" l="1"/>
  <c r="K60" i="4"/>
  <c r="J60" i="4"/>
  <c r="I60" i="4"/>
  <c r="E60" i="4"/>
  <c r="D60" i="4"/>
  <c r="O59" i="4"/>
  <c r="K59" i="4"/>
  <c r="J59" i="4"/>
  <c r="I59" i="4"/>
  <c r="E59" i="4"/>
  <c r="D59" i="4"/>
  <c r="J58" i="4"/>
  <c r="K58" i="4"/>
  <c r="O58" i="4"/>
  <c r="O57" i="4"/>
  <c r="K57" i="4"/>
  <c r="J57" i="4"/>
  <c r="I57" i="4"/>
  <c r="E57" i="4"/>
  <c r="D57" i="4"/>
  <c r="O56" i="4"/>
  <c r="K56" i="4"/>
  <c r="J56" i="4"/>
  <c r="I56" i="4"/>
  <c r="E56" i="4"/>
  <c r="D56" i="4"/>
  <c r="O51" i="4"/>
  <c r="O49" i="4"/>
  <c r="O46" i="4"/>
  <c r="J46" i="4"/>
  <c r="I46" i="4"/>
  <c r="O45" i="4"/>
  <c r="O44" i="4"/>
  <c r="I44" i="4"/>
  <c r="D44" i="4"/>
  <c r="O40" i="4"/>
  <c r="E40" i="4"/>
  <c r="D40" i="4"/>
  <c r="O37" i="4"/>
  <c r="J37" i="4"/>
  <c r="I37" i="4"/>
  <c r="E37" i="4"/>
  <c r="E34" i="4"/>
  <c r="O26" i="4"/>
  <c r="K26" i="4"/>
  <c r="I26" i="4"/>
  <c r="P16" i="4"/>
  <c r="J16" i="4"/>
  <c r="O15" i="4"/>
  <c r="O5" i="4" l="1"/>
  <c r="K5" i="4"/>
  <c r="J5" i="4"/>
  <c r="O18" i="18"/>
  <c r="O16" i="18"/>
  <c r="K18" i="18"/>
  <c r="K5" i="18"/>
  <c r="J28" i="18"/>
  <c r="J5" i="18"/>
  <c r="I20" i="18"/>
  <c r="I16" i="18"/>
  <c r="I5" i="18"/>
  <c r="E20" i="18"/>
  <c r="E18" i="18"/>
  <c r="E17" i="18"/>
  <c r="P45" i="10"/>
  <c r="P51" i="10"/>
  <c r="K47" i="10"/>
  <c r="J38" i="10"/>
  <c r="K38" i="10" s="1"/>
  <c r="F38" i="10"/>
  <c r="L34" i="10" l="1"/>
  <c r="F16" i="10" l="1"/>
  <c r="F15" i="10" l="1"/>
  <c r="F52" i="10" s="1"/>
  <c r="G15" i="10" l="1"/>
  <c r="G8" i="10" l="1"/>
  <c r="F8" i="10"/>
  <c r="K16" i="10" l="1"/>
  <c r="L16" i="10" s="1"/>
  <c r="G16" i="10" l="1"/>
  <c r="J11" i="10"/>
  <c r="J10" i="10"/>
  <c r="L10" i="10"/>
  <c r="F10" i="10" l="1"/>
  <c r="G10" i="10"/>
  <c r="G9" i="10"/>
  <c r="F9" i="10"/>
  <c r="F11" i="10"/>
  <c r="K11" i="10"/>
  <c r="L7" i="10"/>
  <c r="K10" i="10"/>
  <c r="K15" i="10"/>
  <c r="K52" i="10" s="1"/>
  <c r="O6" i="10"/>
  <c r="P6" i="10" s="1"/>
  <c r="L15" i="10" l="1"/>
  <c r="G7" i="10"/>
  <c r="F7" i="10"/>
  <c r="K7" i="10"/>
  <c r="K17" i="10" l="1"/>
  <c r="J45" i="10" l="1"/>
  <c r="F45" i="10"/>
  <c r="K45" i="10"/>
  <c r="K48" i="10" s="1"/>
  <c r="K51" i="10" s="1"/>
  <c r="F48" i="10" l="1"/>
  <c r="F51" i="10" s="1"/>
</calcChain>
</file>

<file path=xl/sharedStrings.xml><?xml version="1.0" encoding="utf-8"?>
<sst xmlns="http://schemas.openxmlformats.org/spreadsheetml/2006/main" count="608" uniqueCount="528">
  <si>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</si>
  <si>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</si>
  <si>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</si>
  <si>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</si>
  <si>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</si>
  <si>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</si>
  <si>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</si>
  <si>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</si>
  <si>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</si>
  <si>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</si>
  <si>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</si>
  <si>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</si>
  <si>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</si>
  <si>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</si>
  <si>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</si>
  <si>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</si>
  <si>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</si>
  <si>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</si>
  <si>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</si>
  <si>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</si>
  <si>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</si>
  <si>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</si>
  <si>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</si>
  <si>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</si>
  <si>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</si>
  <si>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</si>
  <si>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</si>
  <si>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</si>
  <si>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</si>
  <si>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</si>
  <si>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</si>
  <si>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</si>
  <si>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</si>
  <si>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</si>
  <si>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</si>
  <si>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</si>
  <si>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</si>
  <si>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</si>
  <si>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</si>
  <si>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</si>
  <si>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</si>
  <si>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</si>
  <si>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</si>
  <si>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</si>
  <si>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</si>
  <si>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</si>
  <si>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</si>
  <si>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</si>
  <si>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</si>
  <si>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</si>
  <si>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</si>
  <si>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</si>
  <si>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</si>
  <si>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</si>
  <si>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</si>
  <si>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</si>
  <si>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</si>
  <si>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</si>
  <si>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</si>
  <si>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</si>
  <si>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</si>
  <si>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</si>
  <si>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</si>
  <si>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</si>
  <si>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</si>
  <si>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</si>
  <si>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</si>
  <si>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</si>
  <si>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</si>
  <si>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</si>
  <si>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</si>
  <si>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</si>
  <si>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</si>
  <si>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</si>
  <si>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</si>
  <si>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</si>
  <si>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</si>
  <si>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</si>
  <si>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</si>
  <si>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</si>
  <si>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</si>
  <si>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</si>
  <si>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</si>
  <si>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</si>
  <si>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</si>
  <si>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</si>
  <si>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</si>
  <si>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</si>
  <si>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</si>
  <si>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</si>
  <si>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</si>
  <si>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</si>
  <si>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</si>
  <si>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</si>
  <si>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</si>
  <si>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</si>
  <si>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</si>
  <si>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</si>
  <si>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</si>
  <si>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</si>
  <si>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</si>
  <si>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</si>
  <si>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</si>
  <si>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</si>
  <si>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</si>
  <si>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</si>
  <si>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</si>
  <si>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</si>
  <si>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</si>
  <si>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</si>
  <si>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</si>
  <si>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</si>
  <si>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</si>
  <si>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</si>
  <si>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</si>
  <si>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</si>
  <si>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</si>
  <si>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</si>
  <si>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</si>
  <si>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</si>
  <si>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</si>
  <si>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</si>
  <si>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</si>
  <si>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</si>
  <si>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</si>
  <si>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</si>
  <si>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</si>
  <si>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</si>
  <si>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</si>
  <si>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</si>
  <si>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</si>
  <si>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</si>
  <si>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</si>
  <si>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</si>
  <si>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</si>
  <si>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</si>
  <si>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</si>
  <si>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</si>
  <si>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</si>
  <si>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</si>
  <si>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</si>
  <si>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</si>
  <si>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</si>
  <si>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</si>
  <si>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</si>
  <si>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</si>
  <si>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</si>
  <si>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</si>
  <si>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</si>
  <si>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</si>
  <si>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</si>
  <si>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</si>
  <si>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</si>
  <si>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</si>
  <si>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</si>
  <si>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</si>
  <si>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</si>
  <si>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</si>
  <si>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</si>
  <si>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</si>
  <si>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</si>
  <si>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</si>
  <si>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</si>
  <si>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</si>
  <si>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</si>
  <si>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</si>
  <si>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</si>
  <si>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</si>
  <si>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</si>
  <si>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</si>
  <si>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</si>
  <si>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</si>
  <si>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</si>
  <si>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</si>
  <si>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</si>
  <si>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</si>
  <si>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</si>
  <si>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</si>
  <si>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</si>
  <si>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</si>
  <si>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</si>
  <si>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</si>
  <si>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</si>
  <si>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</si>
  <si>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</si>
  <si>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</si>
  <si>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</si>
  <si>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</si>
  <si>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</si>
  <si>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</si>
  <si>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</si>
  <si>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</si>
  <si>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</si>
  <si>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</si>
  <si>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</si>
  <si>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</si>
  <si>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</si>
  <si>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</si>
  <si>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</si>
  <si>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</si>
  <si>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</si>
  <si>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</si>
  <si>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</si>
  <si>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</si>
  <si>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</si>
  <si>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</si>
  <si>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</si>
  <si>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</si>
  <si>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</si>
  <si>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</si>
  <si>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</si>
  <si>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</si>
  <si>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</si>
  <si>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</si>
  <si>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</si>
  <si>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</si>
  <si>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</si>
  <si>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</si>
  <si>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</si>
  <si>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</si>
  <si>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</si>
  <si>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</si>
  <si>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</si>
  <si>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</si>
  <si>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</si>
  <si>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</si>
  <si>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</si>
  <si>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</si>
  <si>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</si>
  <si>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</si>
  <si>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</si>
  <si>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</si>
  <si>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</si>
  <si>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</si>
  <si>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</si>
  <si>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</si>
  <si>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</si>
  <si>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</si>
  <si>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</si>
  <si>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</si>
  <si>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</si>
  <si>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</si>
  <si>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</si>
  <si>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</si>
  <si>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</si>
  <si>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</si>
  <si>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</si>
  <si>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</si>
  <si>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</si>
  <si>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</si>
  <si>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</si>
  <si>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</si>
  <si>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</si>
  <si>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</si>
  <si>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</si>
  <si>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</si>
  <si>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</si>
  <si>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</si>
  <si>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</si>
  <si>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</si>
  <si>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</si>
  <si>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</si>
  <si>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</si>
  <si>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</si>
  <si>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</si>
  <si>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</si>
  <si>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</si>
  <si>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</si>
  <si>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</si>
  <si>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</si>
  <si>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</si>
  <si>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</si>
  <si>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</si>
  <si>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</si>
  <si>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</si>
  <si>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</si>
  <si>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</si>
  <si>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</si>
  <si>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</si>
  <si>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</si>
  <si>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</si>
  <si>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</si>
  <si>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</si>
  <si>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</si>
  <si>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</si>
  <si>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</si>
  <si>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</si>
  <si>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</si>
  <si>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</si>
  <si>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</si>
  <si>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</si>
  <si>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</si>
  <si>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</si>
  <si>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</si>
  <si>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</si>
  <si>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</si>
  <si>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</si>
  <si>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</si>
  <si>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</si>
  <si>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</si>
  <si>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</si>
  <si>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</si>
  <si>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</si>
  <si>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</si>
  <si>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</si>
  <si>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</si>
  <si>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</si>
  <si>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</si>
  <si>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</si>
  <si>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</si>
  <si>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</si>
  <si>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</si>
  <si>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</si>
  <si>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</si>
  <si>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</si>
  <si>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</si>
  <si>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</si>
  <si>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</si>
  <si>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</si>
  <si>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</si>
  <si>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</si>
  <si>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</si>
  <si>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</si>
  <si>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</si>
  <si>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</si>
  <si>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</si>
  <si>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</si>
  <si>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</si>
  <si>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</si>
  <si>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</si>
  <si>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</si>
  <si>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</si>
  <si>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</si>
  <si>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</si>
  <si>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</si>
  <si>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</si>
  <si>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</si>
  <si>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</si>
  <si>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</si>
  <si>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</si>
  <si>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</si>
  <si>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</si>
  <si>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</si>
  <si>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</si>
  <si>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</si>
  <si>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</si>
  <si>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</si>
  <si>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</si>
  <si>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</si>
  <si>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</si>
  <si>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</si>
  <si>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</si>
  <si>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</si>
  <si>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</si>
  <si>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</si>
  <si>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</si>
  <si>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</si>
  <si>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</si>
  <si>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</si>
  <si>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</si>
  <si>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</si>
  <si>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</si>
  <si>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</si>
  <si>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</si>
  <si>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</si>
  <si>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</si>
  <si>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</si>
  <si>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</si>
  <si>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</si>
  <si>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</si>
  <si>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</si>
  <si>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</si>
  <si>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</si>
  <si>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</si>
  <si>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</si>
  <si>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</si>
  <si>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</si>
  <si>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</si>
  <si>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</si>
  <si>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</si>
  <si>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</si>
  <si>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</si>
  <si>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</si>
  <si>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</si>
  <si>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</si>
  <si>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</si>
  <si>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</si>
  <si>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</si>
  <si>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</si>
  <si>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</si>
  <si>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</si>
  <si>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</si>
  <si>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</si>
  <si>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</si>
  <si>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</si>
  <si>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</si>
  <si>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</si>
  <si>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</si>
  <si>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</si>
  <si>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</si>
  <si>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</si>
  <si>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</si>
  <si>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</si>
  <si>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</si>
  <si>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</si>
  <si>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</si>
  <si>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</si>
  <si>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</si>
  <si>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</si>
  <si>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</si>
  <si>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</si>
  <si>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</si>
  <si>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</si>
  <si>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</si>
  <si>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</si>
  <si>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</si>
  <si>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</si>
  <si>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</si>
  <si>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</si>
  <si>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</si>
  <si>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</si>
  <si>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</si>
  <si>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</si>
  <si>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</si>
  <si>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</si>
  <si>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</si>
  <si>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</si>
  <si>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</si>
  <si>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</si>
  <si>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</si>
  <si>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</si>
  <si>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</si>
  <si>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</si>
  <si>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</si>
  <si>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</si>
  <si>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</si>
  <si>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</si>
  <si>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</si>
  <si>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</si>
  <si>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</si>
  <si>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</si>
  <si>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</si>
  <si>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</si>
  <si>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</si>
  <si>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</si>
  <si>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</si>
  <si>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</si>
  <si>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</si>
  <si>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</si>
  <si>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</si>
  <si>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</si>
  <si>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</si>
  <si>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</si>
  <si>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</si>
  <si>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</si>
  <si>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</si>
  <si>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</si>
  <si>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</si>
  <si>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</si>
  <si>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</si>
  <si>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</si>
  <si>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</si>
  <si>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</si>
  <si>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</si>
  <si>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</si>
  <si>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</si>
  <si>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</si>
  <si>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</si>
  <si>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</si>
  <si>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</si>
  <si>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</si>
  <si>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</si>
  <si>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</si>
  <si>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</si>
  <si>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</si>
  <si>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</si>
  <si>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</si>
  <si>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</si>
  <si>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</si>
  <si>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</si>
  <si>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</si>
  <si>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</si>
  <si>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</si>
  <si>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</si>
  <si>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</si>
  <si>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</si>
  <si>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</si>
  <si>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</si>
  <si>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</si>
  <si>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</si>
  <si>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</si>
  <si>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</si>
  <si>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</si>
  <si>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</si>
  <si>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</si>
  <si>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</si>
  <si>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</si>
  <si>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</si>
  <si>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</si>
  <si>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</si>
  <si>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636</t>
  </si>
  <si>
    <t xml:space="preserve"> </t>
  </si>
  <si>
    <t>Claims paid</t>
  </si>
  <si>
    <t>Incurred but not reported</t>
  </si>
  <si>
    <t>Amounts are based on estimate of claims to be paid split by Individual, Small Group and Large Group members.</t>
  </si>
  <si>
    <t>Amounts are based on amount paid split by Individual, Small Group and Large Group members.</t>
  </si>
  <si>
    <t>Taxes and assessments</t>
  </si>
  <si>
    <t>State insurance, premium and other taxes</t>
  </si>
  <si>
    <t>This section is not applicable</t>
  </si>
  <si>
    <t>Community benefit expenditures</t>
  </si>
  <si>
    <t>This section is not applicable as the Company did not spend funds in this area.</t>
  </si>
  <si>
    <t>Improve patient safety and reduc medical errors</t>
  </si>
  <si>
    <t>Activities to prevent hospital readmission</t>
  </si>
  <si>
    <t>Allowable ICD 10 expenses</t>
  </si>
  <si>
    <t>Other general and administrative expenses</t>
  </si>
  <si>
    <t>Allocation of expenses are based on member month proration.</t>
  </si>
  <si>
    <t>Other taxes</t>
  </si>
  <si>
    <t>Agents and broker fees and commissions</t>
  </si>
  <si>
    <t>Agents and broker fees and commissions are split based on direct allocation.</t>
  </si>
  <si>
    <t>Direct sales salaries and benefits</t>
  </si>
  <si>
    <t>All other claims adjustment expenses</t>
  </si>
  <si>
    <t>Cost containment expenses not included in quality improvement expenses</t>
  </si>
  <si>
    <t>Health Information Technology expenses</t>
  </si>
  <si>
    <t>Wellness and health promotion activities</t>
  </si>
  <si>
    <t>Expenses to improve health outcomes</t>
  </si>
  <si>
    <t>Regulatory authority licenses and fees</t>
  </si>
  <si>
    <t>State insurance, premium and other taxes are based on which category of business they pertain to. If assessments relate only to individuals, for example, they are not allocated. If they pertain to all lines of business, they are allocated based on member months.</t>
  </si>
  <si>
    <t>Taxes and assessments are based on which category of business they pertain to. If assessments relate only to Individuals, for example, they are not allocated. If they pertain to all lines of business, they are allocated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</si>
</sst>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2015-MLR-Calculator-MHI%20MA%20FINAL%20v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2015-MLR-Calculator-MHI%20N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6">
          <cell r="E6">
            <v>7964463</v>
          </cell>
          <cell r="O6">
            <v>121295</v>
          </cell>
        </row>
        <row r="7">
          <cell r="E7">
            <v>505965</v>
          </cell>
          <cell r="K7">
            <v>71234</v>
          </cell>
          <cell r="L7">
            <v>71234</v>
          </cell>
        </row>
        <row r="8">
          <cell r="E8">
            <v>621555.55000000005</v>
          </cell>
        </row>
        <row r="9">
          <cell r="E9">
            <v>349531</v>
          </cell>
        </row>
        <row r="10">
          <cell r="E10">
            <v>-5358558</v>
          </cell>
          <cell r="J10">
            <v>-754425</v>
          </cell>
          <cell r="K10">
            <v>-754425</v>
          </cell>
          <cell r="L10">
            <v>-754425</v>
          </cell>
        </row>
        <row r="11">
          <cell r="E11">
            <v>139606</v>
          </cell>
          <cell r="J11">
            <v>0</v>
          </cell>
          <cell r="K11">
            <v>0</v>
          </cell>
        </row>
        <row r="16">
          <cell r="G16">
            <v>259750.65</v>
          </cell>
        </row>
        <row r="17">
          <cell r="K17">
            <v>14963513.67</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6">
          <cell r="E6">
            <v>16245479.1</v>
          </cell>
        </row>
        <row r="7">
          <cell r="E7">
            <v>714254</v>
          </cell>
          <cell r="K7">
            <v>2492</v>
          </cell>
          <cell r="L7">
            <v>2492</v>
          </cell>
        </row>
        <row r="8">
          <cell r="E8">
            <v>1686894</v>
          </cell>
        </row>
        <row r="9">
          <cell r="E9">
            <v>2114169.44</v>
          </cell>
        </row>
        <row r="10">
          <cell r="E10">
            <v>-10504218.18</v>
          </cell>
          <cell r="J10">
            <v>0</v>
          </cell>
          <cell r="K10">
            <v>0</v>
          </cell>
          <cell r="L10">
            <v>-36650.82</v>
          </cell>
        </row>
        <row r="11">
          <cell r="J11">
            <v>0</v>
          </cell>
          <cell r="K11">
            <v>0</v>
          </cell>
        </row>
        <row r="16">
          <cell r="G16">
            <v>823193.94</v>
          </cell>
        </row>
        <row r="17">
          <cell r="K17">
            <v>19224.009999999998</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7" sqref="C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7" t="s">
        <v>500</v>
      </c>
      <c r="B4" s="145" t="s">
        <v>45</v>
      </c>
      <c r="C4" s="476" t="s">
        <v>496</v>
      </c>
    </row>
    <row r="5" spans="1:6" x14ac:dyDescent="0.2">
      <c r="B5" s="145" t="s">
        <v>215</v>
      </c>
      <c r="C5" s="476" t="s">
        <v>496</v>
      </c>
    </row>
    <row r="6" spans="1:6" x14ac:dyDescent="0.2">
      <c r="B6" s="145" t="s">
        <v>216</v>
      </c>
      <c r="C6" s="476" t="s">
        <v>499</v>
      </c>
    </row>
    <row r="7" spans="1:6" x14ac:dyDescent="0.2">
      <c r="B7" s="145" t="s">
        <v>128</v>
      </c>
      <c r="C7" s="476"/>
    </row>
    <row r="8" spans="1:6" x14ac:dyDescent="0.2">
      <c r="B8" s="145" t="s">
        <v>36</v>
      </c>
      <c r="C8" s="476"/>
    </row>
    <row r="9" spans="1:6" x14ac:dyDescent="0.2">
      <c r="B9" s="145" t="s">
        <v>41</v>
      </c>
      <c r="C9" s="476"/>
    </row>
    <row r="10" spans="1:6" x14ac:dyDescent="0.2">
      <c r="B10" s="145" t="s">
        <v>58</v>
      </c>
      <c r="C10" s="476" t="s">
        <v>496</v>
      </c>
    </row>
    <row r="11" spans="1:6" x14ac:dyDescent="0.2">
      <c r="B11" s="145" t="s">
        <v>349</v>
      </c>
      <c r="C11" s="476"/>
    </row>
    <row r="12" spans="1:6" x14ac:dyDescent="0.2">
      <c r="B12" s="145" t="s">
        <v>35</v>
      </c>
      <c r="C12" s="476" t="s">
        <v>149</v>
      </c>
    </row>
    <row r="13" spans="1:6" x14ac:dyDescent="0.2">
      <c r="B13" s="145" t="s">
        <v>50</v>
      </c>
      <c r="C13" s="476" t="s">
        <v>159</v>
      </c>
    </row>
    <row r="14" spans="1:6" x14ac:dyDescent="0.2">
      <c r="B14" s="145" t="s">
        <v>51</v>
      </c>
      <c r="C14" s="476" t="s">
        <v>498</v>
      </c>
    </row>
    <row r="15" spans="1:6" x14ac:dyDescent="0.2">
      <c r="B15" s="145" t="s">
        <v>217</v>
      </c>
      <c r="C15" s="476" t="s">
        <v>135</v>
      </c>
    </row>
    <row r="16" spans="1:6" x14ac:dyDescent="0.2">
      <c r="B16" s="145" t="s">
        <v>434</v>
      </c>
      <c r="C16" s="475" t="s">
        <v>133</v>
      </c>
    </row>
    <row r="17" spans="1:3" x14ac:dyDescent="0.2">
      <c r="B17" s="146" t="s">
        <v>219</v>
      </c>
      <c r="C17" s="478" t="s">
        <v>133</v>
      </c>
    </row>
    <row r="18" spans="1:3" x14ac:dyDescent="0.2">
      <c r="B18" s="145" t="s">
        <v>218</v>
      </c>
      <c r="C18" s="476" t="s">
        <v>133</v>
      </c>
    </row>
    <row r="19" spans="1:3" x14ac:dyDescent="0.2">
      <c r="A19" s="160"/>
      <c r="B19" s="147" t="s">
        <v>53</v>
      </c>
      <c r="C19" s="476"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B22" sqref="B2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208">
        <f>4099997+13341825</f>
        <v>17441822</v>
      </c>
      <c r="E5" s="209">
        <f>19784179+8587689</f>
        <v>28371868</v>
      </c>
      <c r="F5" s="209"/>
      <c r="G5" s="209"/>
      <c r="H5" s="209"/>
      <c r="I5" s="208">
        <f>8448083+19784179</f>
        <v>28232262</v>
      </c>
      <c r="J5" s="208">
        <f>23788+368400</f>
        <v>392188</v>
      </c>
      <c r="K5" s="209">
        <f>1013017+20912</f>
        <v>1033929</v>
      </c>
      <c r="L5" s="209"/>
      <c r="M5" s="209"/>
      <c r="N5" s="209"/>
      <c r="O5" s="208">
        <f>-15739+1013017</f>
        <v>997278</v>
      </c>
      <c r="P5" s="208">
        <v>227593</v>
      </c>
      <c r="Q5" s="209">
        <v>221810</v>
      </c>
      <c r="R5" s="209"/>
      <c r="S5" s="209"/>
      <c r="T5" s="209"/>
      <c r="U5" s="208"/>
      <c r="V5" s="209"/>
      <c r="W5" s="209"/>
      <c r="X5" s="208"/>
      <c r="Y5" s="209"/>
      <c r="Z5" s="209"/>
      <c r="AA5" s="208"/>
      <c r="AB5" s="209"/>
      <c r="AC5" s="209"/>
      <c r="AD5" s="208"/>
      <c r="AE5" s="270"/>
      <c r="AF5" s="270"/>
      <c r="AG5" s="270"/>
      <c r="AH5" s="271"/>
      <c r="AI5" s="208"/>
      <c r="AJ5" s="270"/>
      <c r="AK5" s="270"/>
      <c r="AL5" s="270"/>
      <c r="AM5" s="271"/>
      <c r="AN5" s="208"/>
      <c r="AO5" s="209"/>
      <c r="AP5" s="209"/>
      <c r="AQ5" s="209"/>
      <c r="AR5" s="209"/>
      <c r="AS5" s="208"/>
      <c r="AT5" s="210"/>
      <c r="AU5" s="210"/>
      <c r="AV5" s="211"/>
      <c r="AW5" s="292"/>
    </row>
    <row r="6" spans="1:49" x14ac:dyDescent="0.2">
      <c r="B6" s="235" t="s">
        <v>223</v>
      </c>
      <c r="C6" s="199" t="s">
        <v>12</v>
      </c>
      <c r="D6" s="212"/>
      <c r="E6" s="213"/>
      <c r="F6" s="213"/>
      <c r="G6" s="214"/>
      <c r="H6" s="214"/>
      <c r="I6" s="215"/>
      <c r="J6" s="212"/>
      <c r="K6" s="213"/>
      <c r="L6" s="213"/>
      <c r="M6" s="214"/>
      <c r="N6" s="214"/>
      <c r="O6" s="215"/>
      <c r="P6" s="212"/>
      <c r="Q6" s="213">
        <v>0</v>
      </c>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v>-781265</v>
      </c>
      <c r="E8" s="264"/>
      <c r="F8" s="265"/>
      <c r="G8" s="265"/>
      <c r="H8" s="265"/>
      <c r="I8" s="268"/>
      <c r="J8" s="212">
        <v>-1542</v>
      </c>
      <c r="K8" s="264"/>
      <c r="L8" s="265"/>
      <c r="M8" s="265"/>
      <c r="N8" s="265"/>
      <c r="O8" s="268"/>
      <c r="P8" s="212"/>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208">
        <f>18254465+8443185</f>
        <v>26697650</v>
      </c>
      <c r="E12" s="209">
        <f>18870456+8093208</f>
        <v>26963664</v>
      </c>
      <c r="F12" s="209">
        <v>0</v>
      </c>
      <c r="G12" s="209">
        <v>0</v>
      </c>
      <c r="H12" s="209">
        <v>0</v>
      </c>
      <c r="I12" s="208">
        <f>8093208+18870456</f>
        <v>26963664</v>
      </c>
      <c r="J12" s="208">
        <f>1188707+63693</f>
        <v>1252400</v>
      </c>
      <c r="K12" s="209">
        <f>10439+1486567</f>
        <v>1497006</v>
      </c>
      <c r="L12" s="209">
        <v>0</v>
      </c>
      <c r="M12" s="209">
        <v>0</v>
      </c>
      <c r="N12" s="209">
        <v>0</v>
      </c>
      <c r="O12" s="208">
        <f>10439+1486567</f>
        <v>1497006</v>
      </c>
      <c r="P12" s="208">
        <v>371208</v>
      </c>
      <c r="Q12" s="209">
        <v>121292</v>
      </c>
      <c r="R12" s="209"/>
      <c r="S12" s="209"/>
      <c r="T12" s="209"/>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208"/>
      <c r="AT12" s="210"/>
      <c r="AU12" s="210"/>
      <c r="AV12" s="287"/>
      <c r="AW12" s="292"/>
    </row>
    <row r="13" spans="1:49" ht="25.5" x14ac:dyDescent="0.2">
      <c r="B13" s="235" t="s">
        <v>230</v>
      </c>
      <c r="C13" s="199" t="s">
        <v>37</v>
      </c>
      <c r="D13" s="212">
        <f>2729809+1173501</f>
        <v>3903310</v>
      </c>
      <c r="E13" s="213">
        <f>1173501+2729809</f>
        <v>3903310</v>
      </c>
      <c r="F13" s="213"/>
      <c r="G13" s="264"/>
      <c r="H13" s="265"/>
      <c r="I13" s="212">
        <f>1173501+2729809</f>
        <v>3903310</v>
      </c>
      <c r="J13" s="212">
        <f>9525+165216</f>
        <v>174741</v>
      </c>
      <c r="K13" s="213">
        <f>165216+9525</f>
        <v>174741</v>
      </c>
      <c r="L13" s="213"/>
      <c r="M13" s="264"/>
      <c r="N13" s="265"/>
      <c r="O13" s="212">
        <f>165216</f>
        <v>165216</v>
      </c>
      <c r="P13" s="212">
        <v>51593</v>
      </c>
      <c r="Q13" s="213">
        <v>51593</v>
      </c>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212"/>
      <c r="AT13" s="216"/>
      <c r="AU13" s="216"/>
      <c r="AV13" s="286"/>
      <c r="AW13" s="293"/>
    </row>
    <row r="14" spans="1:49" ht="25.5" x14ac:dyDescent="0.2">
      <c r="B14" s="235" t="s">
        <v>231</v>
      </c>
      <c r="C14" s="199" t="s">
        <v>6</v>
      </c>
      <c r="D14" s="212"/>
      <c r="E14" s="213"/>
      <c r="F14" s="213"/>
      <c r="G14" s="263"/>
      <c r="H14" s="266"/>
      <c r="I14" s="212"/>
      <c r="J14" s="212"/>
      <c r="K14" s="213"/>
      <c r="L14" s="213"/>
      <c r="M14" s="263"/>
      <c r="N14" s="266"/>
      <c r="O14" s="212">
        <v>9525</v>
      </c>
      <c r="P14" s="212">
        <v>0</v>
      </c>
      <c r="Q14" s="213"/>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38.25" x14ac:dyDescent="0.2">
      <c r="B15" s="235" t="s">
        <v>232</v>
      </c>
      <c r="C15" s="199" t="s">
        <v>7</v>
      </c>
      <c r="D15" s="212">
        <f>894+69690</f>
        <v>70584</v>
      </c>
      <c r="E15" s="213">
        <f>891+58823</f>
        <v>59714</v>
      </c>
      <c r="F15" s="213"/>
      <c r="G15" s="263"/>
      <c r="H15" s="269"/>
      <c r="I15" s="212">
        <f>58823+891</f>
        <v>59714</v>
      </c>
      <c r="J15" s="212"/>
      <c r="K15" s="213">
        <f>8282+3</f>
        <v>8285</v>
      </c>
      <c r="L15" s="213"/>
      <c r="M15" s="263"/>
      <c r="N15" s="269"/>
      <c r="O15" s="212">
        <f>8282+3</f>
        <v>8285</v>
      </c>
      <c r="P15" s="212">
        <v>0</v>
      </c>
      <c r="Q15" s="213">
        <v>2586</v>
      </c>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f>-1582077-245863</f>
        <v>-1827940</v>
      </c>
      <c r="E16" s="264"/>
      <c r="F16" s="265"/>
      <c r="G16" s="266"/>
      <c r="H16" s="266"/>
      <c r="I16" s="268"/>
      <c r="J16" s="212">
        <f>-34615-5520</f>
        <v>-40135</v>
      </c>
      <c r="K16" s="264"/>
      <c r="L16" s="265"/>
      <c r="M16" s="266"/>
      <c r="N16" s="266"/>
      <c r="O16" s="268"/>
      <c r="P16" s="212">
        <f>-10809</f>
        <v>-10809</v>
      </c>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217"/>
      <c r="E22" s="218"/>
      <c r="F22" s="218"/>
      <c r="G22" s="218"/>
      <c r="H22" s="218"/>
      <c r="I22" s="217"/>
      <c r="J22" s="217"/>
      <c r="K22" s="218"/>
      <c r="L22" s="218"/>
      <c r="M22" s="218"/>
      <c r="N22" s="218"/>
      <c r="O22" s="217"/>
      <c r="P22" s="217"/>
      <c r="Q22" s="218"/>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c r="AT22" s="219"/>
      <c r="AU22" s="219"/>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212">
        <f>10836+15722</f>
        <v>26558</v>
      </c>
      <c r="E26" s="213">
        <f>15668+9146</f>
        <v>24814</v>
      </c>
      <c r="F26" s="213"/>
      <c r="G26" s="213"/>
      <c r="H26" s="213"/>
      <c r="I26" s="212">
        <f>9146+15668</f>
        <v>24814</v>
      </c>
      <c r="J26" s="212"/>
      <c r="K26" s="213">
        <f>1288+55</f>
        <v>1343</v>
      </c>
      <c r="L26" s="213"/>
      <c r="M26" s="213"/>
      <c r="N26" s="213"/>
      <c r="O26" s="212">
        <f>1288+55</f>
        <v>1343</v>
      </c>
      <c r="P26" s="212"/>
      <c r="Q26" s="213">
        <v>402</v>
      </c>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
      <c r="B27" s="238" t="s">
        <v>243</v>
      </c>
      <c r="C27" s="199"/>
      <c r="D27" s="212"/>
      <c r="E27" s="213"/>
      <c r="F27" s="213"/>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c r="AT27" s="216"/>
      <c r="AU27" s="216"/>
      <c r="AV27" s="289"/>
      <c r="AW27" s="293"/>
    </row>
    <row r="28" spans="1:49" s="5" customFormat="1" x14ac:dyDescent="0.2">
      <c r="A28" s="35"/>
      <c r="B28" s="238" t="s">
        <v>244</v>
      </c>
      <c r="C28" s="199"/>
      <c r="D28" s="212"/>
      <c r="E28" s="213"/>
      <c r="F28" s="213"/>
      <c r="G28" s="213"/>
      <c r="H28" s="213"/>
      <c r="I28" s="212"/>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v>16235</v>
      </c>
      <c r="E30" s="213">
        <v>16235</v>
      </c>
      <c r="F30" s="213"/>
      <c r="G30" s="213"/>
      <c r="H30" s="213"/>
      <c r="I30" s="212">
        <v>16235</v>
      </c>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
      <c r="B31" s="238" t="s">
        <v>247</v>
      </c>
      <c r="C31" s="199"/>
      <c r="D31" s="212"/>
      <c r="E31" s="213">
        <f>460838</f>
        <v>460838</v>
      </c>
      <c r="F31" s="213"/>
      <c r="G31" s="213"/>
      <c r="H31" s="213"/>
      <c r="I31" s="212">
        <v>460838</v>
      </c>
      <c r="J31" s="212"/>
      <c r="K31" s="213">
        <v>1608</v>
      </c>
      <c r="L31" s="213"/>
      <c r="M31" s="213"/>
      <c r="N31" s="213"/>
      <c r="O31" s="212">
        <v>1608</v>
      </c>
      <c r="P31" s="212"/>
      <c r="Q31" s="213"/>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216"/>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f>339416+234369</f>
        <v>573785</v>
      </c>
      <c r="E34" s="213">
        <f>234369+339416</f>
        <v>573785</v>
      </c>
      <c r="F34" s="213"/>
      <c r="G34" s="213"/>
      <c r="H34" s="213"/>
      <c r="I34" s="212">
        <f>234369+339416</f>
        <v>573785</v>
      </c>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
      <c r="B35" s="238" t="s">
        <v>251</v>
      </c>
      <c r="C35" s="199"/>
      <c r="D35" s="212">
        <v>0</v>
      </c>
      <c r="E35" s="213">
        <v>7272</v>
      </c>
      <c r="F35" s="213"/>
      <c r="G35" s="213"/>
      <c r="H35" s="213"/>
      <c r="I35" s="212">
        <v>7272</v>
      </c>
      <c r="J35" s="212"/>
      <c r="K35" s="213">
        <v>25</v>
      </c>
      <c r="L35" s="213"/>
      <c r="M35" s="213"/>
      <c r="N35" s="213"/>
      <c r="O35" s="212">
        <v>25</v>
      </c>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6.5" x14ac:dyDescent="0.2">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
      <c r="B37" s="240" t="s">
        <v>253</v>
      </c>
      <c r="C37" s="198" t="s">
        <v>15</v>
      </c>
      <c r="D37" s="220">
        <f>488027+674685</f>
        <v>1162712</v>
      </c>
      <c r="E37" s="221">
        <f>488027+674685</f>
        <v>1162712</v>
      </c>
      <c r="F37" s="221"/>
      <c r="G37" s="221"/>
      <c r="H37" s="221"/>
      <c r="I37" s="220">
        <f>674685+488027</f>
        <v>1162712</v>
      </c>
      <c r="J37" s="220">
        <f>68709+2354</f>
        <v>71063</v>
      </c>
      <c r="K37" s="221">
        <f>68709+2354</f>
        <v>71063</v>
      </c>
      <c r="L37" s="221"/>
      <c r="M37" s="221"/>
      <c r="N37" s="221"/>
      <c r="O37" s="220">
        <f>68709+2354</f>
        <v>71063</v>
      </c>
      <c r="P37" s="220">
        <v>21456</v>
      </c>
      <c r="Q37" s="221">
        <v>21456</v>
      </c>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x14ac:dyDescent="0.2">
      <c r="B38" s="235" t="s">
        <v>254</v>
      </c>
      <c r="C38" s="199" t="s">
        <v>16</v>
      </c>
      <c r="D38" s="212"/>
      <c r="E38" s="213"/>
      <c r="F38" s="213"/>
      <c r="G38" s="213"/>
      <c r="H38" s="213"/>
      <c r="I38" s="212"/>
      <c r="J38" s="212"/>
      <c r="K38" s="213"/>
      <c r="L38" s="213"/>
      <c r="M38" s="213"/>
      <c r="N38" s="213"/>
      <c r="O38" s="212"/>
      <c r="P38" s="212"/>
      <c r="Q38" s="213"/>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c r="AT38" s="216"/>
      <c r="AU38" s="216"/>
      <c r="AV38" s="216"/>
      <c r="AW38" s="293"/>
    </row>
    <row r="39" spans="1:49" x14ac:dyDescent="0.2">
      <c r="B39" s="238" t="s">
        <v>255</v>
      </c>
      <c r="C39" s="199" t="s">
        <v>17</v>
      </c>
      <c r="D39" s="212"/>
      <c r="E39" s="213"/>
      <c r="F39" s="213"/>
      <c r="G39" s="213"/>
      <c r="H39" s="213"/>
      <c r="I39" s="212"/>
      <c r="J39" s="212"/>
      <c r="K39" s="213"/>
      <c r="L39" s="213"/>
      <c r="M39" s="213"/>
      <c r="N39" s="213"/>
      <c r="O39" s="212"/>
      <c r="P39" s="212"/>
      <c r="Q39" s="213"/>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c r="AT39" s="216"/>
      <c r="AU39" s="216"/>
      <c r="AV39" s="216"/>
      <c r="AW39" s="293"/>
    </row>
    <row r="40" spans="1:49" x14ac:dyDescent="0.2">
      <c r="B40" s="238" t="s">
        <v>256</v>
      </c>
      <c r="C40" s="199" t="s">
        <v>38</v>
      </c>
      <c r="D40" s="212">
        <f>39569+17938</f>
        <v>57507</v>
      </c>
      <c r="E40" s="213">
        <f>17938+39569</f>
        <v>57507</v>
      </c>
      <c r="F40" s="213"/>
      <c r="G40" s="213"/>
      <c r="H40" s="213"/>
      <c r="I40" s="212">
        <f>17938+39569</f>
        <v>57507</v>
      </c>
      <c r="J40" s="212">
        <f>138+2525</f>
        <v>2663</v>
      </c>
      <c r="K40" s="213">
        <f>138+2525</f>
        <v>2663</v>
      </c>
      <c r="L40" s="213"/>
      <c r="M40" s="213"/>
      <c r="N40" s="213"/>
      <c r="O40" s="212">
        <f>138+2525</f>
        <v>2663</v>
      </c>
      <c r="P40" s="212">
        <v>789</v>
      </c>
      <c r="Q40" s="213">
        <v>789</v>
      </c>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c r="AT40" s="216"/>
      <c r="AU40" s="216"/>
      <c r="AV40" s="216"/>
      <c r="AW40" s="293"/>
    </row>
    <row r="41" spans="1:49" s="5" customFormat="1" ht="25.5" x14ac:dyDescent="0.2">
      <c r="A41" s="35"/>
      <c r="B41" s="238" t="s">
        <v>257</v>
      </c>
      <c r="C41" s="199" t="s">
        <v>129</v>
      </c>
      <c r="D41" s="212"/>
      <c r="E41" s="213"/>
      <c r="F41" s="213"/>
      <c r="G41" s="213"/>
      <c r="H41" s="213"/>
      <c r="I41" s="212"/>
      <c r="J41" s="212"/>
      <c r="K41" s="213"/>
      <c r="L41" s="213"/>
      <c r="M41" s="213"/>
      <c r="N41" s="213"/>
      <c r="O41" s="212"/>
      <c r="P41" s="212"/>
      <c r="Q41" s="213"/>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c r="AT41" s="216"/>
      <c r="AU41" s="216"/>
      <c r="AV41" s="216"/>
      <c r="AW41" s="293"/>
    </row>
    <row r="42" spans="1:49" s="5" customFormat="1" ht="24.95" customHeight="1" x14ac:dyDescent="0.2">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5" x14ac:dyDescent="0.2">
      <c r="B44" s="240" t="s">
        <v>260</v>
      </c>
      <c r="C44" s="198" t="s">
        <v>18</v>
      </c>
      <c r="D44" s="220">
        <f>2277790+1153494</f>
        <v>3431284</v>
      </c>
      <c r="E44" s="221">
        <f>1153494+2277790</f>
        <v>3431284</v>
      </c>
      <c r="F44" s="221"/>
      <c r="G44" s="221"/>
      <c r="H44" s="221"/>
      <c r="I44" s="220">
        <f>2277790+1153494</f>
        <v>3431284</v>
      </c>
      <c r="J44" s="220">
        <f>320688+4025</f>
        <v>324713</v>
      </c>
      <c r="K44" s="221">
        <f>4025+320688</f>
        <v>324713</v>
      </c>
      <c r="L44" s="221"/>
      <c r="M44" s="221"/>
      <c r="N44" s="221"/>
      <c r="O44" s="220">
        <f>320688+4025</f>
        <v>324713</v>
      </c>
      <c r="P44" s="220">
        <v>100144</v>
      </c>
      <c r="Q44" s="221">
        <v>100144</v>
      </c>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x14ac:dyDescent="0.2">
      <c r="B45" s="241" t="s">
        <v>261</v>
      </c>
      <c r="C45" s="199" t="s">
        <v>19</v>
      </c>
      <c r="D45" s="212">
        <f>962640+1355143</f>
        <v>2317783</v>
      </c>
      <c r="E45" s="213">
        <f>1355143+962640</f>
        <v>2317783</v>
      </c>
      <c r="F45" s="213"/>
      <c r="G45" s="213"/>
      <c r="H45" s="213"/>
      <c r="I45" s="212">
        <f>1355143+962640</f>
        <v>2317783</v>
      </c>
      <c r="J45" s="212">
        <f>4728+135529</f>
        <v>140257</v>
      </c>
      <c r="K45" s="213">
        <f>135529+4728</f>
        <v>140257</v>
      </c>
      <c r="L45" s="213"/>
      <c r="M45" s="213"/>
      <c r="N45" s="213"/>
      <c r="O45" s="212">
        <f>4728+135529</f>
        <v>140257</v>
      </c>
      <c r="P45" s="212">
        <v>42323</v>
      </c>
      <c r="Q45" s="213">
        <v>42323</v>
      </c>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212"/>
      <c r="AT45" s="216"/>
      <c r="AU45" s="216"/>
      <c r="AV45" s="216"/>
      <c r="AW45" s="293"/>
    </row>
    <row r="46" spans="1:49" x14ac:dyDescent="0.2">
      <c r="B46" s="241" t="s">
        <v>262</v>
      </c>
      <c r="C46" s="199" t="s">
        <v>20</v>
      </c>
      <c r="D46" s="212">
        <f>55171+31933</f>
        <v>87104</v>
      </c>
      <c r="E46" s="213">
        <f>55171+31933</f>
        <v>87104</v>
      </c>
      <c r="F46" s="213"/>
      <c r="G46" s="213"/>
      <c r="H46" s="213"/>
      <c r="I46" s="212">
        <f>55171+31933</f>
        <v>87104</v>
      </c>
      <c r="J46" s="212">
        <f>4496+193</f>
        <v>4689</v>
      </c>
      <c r="K46" s="213">
        <f>193+4496</f>
        <v>4689</v>
      </c>
      <c r="L46" s="213"/>
      <c r="M46" s="213"/>
      <c r="N46" s="213"/>
      <c r="O46" s="212">
        <f>193+4496</f>
        <v>4689</v>
      </c>
      <c r="P46" s="212">
        <v>1404</v>
      </c>
      <c r="Q46" s="213">
        <v>1404</v>
      </c>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c r="AT46" s="216"/>
      <c r="AU46" s="216"/>
      <c r="AV46" s="216"/>
      <c r="AW46" s="293"/>
    </row>
    <row r="47" spans="1:49" x14ac:dyDescent="0.2">
      <c r="B47" s="241" t="s">
        <v>263</v>
      </c>
      <c r="C47" s="199" t="s">
        <v>21</v>
      </c>
      <c r="D47" s="212">
        <f>49650+1064524</f>
        <v>1114174</v>
      </c>
      <c r="E47" s="213">
        <f>1064524+49650</f>
        <v>1114174</v>
      </c>
      <c r="F47" s="213"/>
      <c r="G47" s="213"/>
      <c r="H47" s="213"/>
      <c r="I47" s="212">
        <f>49650+1064524</f>
        <v>1114174</v>
      </c>
      <c r="J47" s="212">
        <v>6615</v>
      </c>
      <c r="K47" s="213">
        <v>6615</v>
      </c>
      <c r="L47" s="213"/>
      <c r="M47" s="213"/>
      <c r="N47" s="213"/>
      <c r="O47" s="212">
        <v>6615</v>
      </c>
      <c r="P47" s="212">
        <v>6139</v>
      </c>
      <c r="Q47" s="213">
        <v>6139</v>
      </c>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212"/>
      <c r="AT47" s="216"/>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212">
        <f>673002+207440</f>
        <v>880442</v>
      </c>
      <c r="E49" s="213">
        <f>207440+673002</f>
        <v>880442</v>
      </c>
      <c r="F49" s="213"/>
      <c r="G49" s="213"/>
      <c r="H49" s="213"/>
      <c r="I49" s="212">
        <f>673002+207440</f>
        <v>880442</v>
      </c>
      <c r="J49" s="212">
        <f>2348+29205</f>
        <v>31553</v>
      </c>
      <c r="K49" s="213">
        <f>29205+2348</f>
        <v>31553</v>
      </c>
      <c r="L49" s="213"/>
      <c r="M49" s="213"/>
      <c r="N49" s="213"/>
      <c r="O49" s="212">
        <f>2348+29205</f>
        <v>31553</v>
      </c>
      <c r="P49" s="212">
        <v>9120</v>
      </c>
      <c r="Q49" s="213">
        <v>9120</v>
      </c>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5" x14ac:dyDescent="0.2">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
      <c r="B51" s="235" t="s">
        <v>266</v>
      </c>
      <c r="C51" s="199"/>
      <c r="D51" s="212">
        <f>20624817+15494658</f>
        <v>36119475</v>
      </c>
      <c r="E51" s="213">
        <f>20624817+15494658</f>
        <v>36119475</v>
      </c>
      <c r="F51" s="213"/>
      <c r="G51" s="213"/>
      <c r="H51" s="213"/>
      <c r="I51" s="212">
        <f>20624817+15494658</f>
        <v>36119475</v>
      </c>
      <c r="J51" s="212">
        <f>2139772+68182</f>
        <v>2207954</v>
      </c>
      <c r="K51" s="213">
        <f>2139772+68182</f>
        <v>2207954</v>
      </c>
      <c r="L51" s="213"/>
      <c r="M51" s="213"/>
      <c r="N51" s="213"/>
      <c r="O51" s="212">
        <f>2139772+68182</f>
        <v>2207954</v>
      </c>
      <c r="P51" s="212">
        <v>668205</v>
      </c>
      <c r="Q51" s="213">
        <v>668205</v>
      </c>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212"/>
      <c r="AT51" s="216"/>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224">
        <f>5797+3727</f>
        <v>9524</v>
      </c>
      <c r="E56" s="225">
        <f>3727+5797</f>
        <v>9524</v>
      </c>
      <c r="F56" s="225"/>
      <c r="G56" s="225"/>
      <c r="H56" s="225"/>
      <c r="I56" s="224">
        <f>5797+3727</f>
        <v>9524</v>
      </c>
      <c r="J56" s="224">
        <f>18+400</f>
        <v>418</v>
      </c>
      <c r="K56" s="225">
        <f>400+18</f>
        <v>418</v>
      </c>
      <c r="L56" s="225"/>
      <c r="M56" s="225"/>
      <c r="N56" s="225"/>
      <c r="O56" s="224">
        <f>18+400</f>
        <v>418</v>
      </c>
      <c r="P56" s="224">
        <v>136</v>
      </c>
      <c r="Q56" s="225">
        <v>136</v>
      </c>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c r="AT56" s="226"/>
      <c r="AU56" s="226"/>
      <c r="AV56" s="226"/>
      <c r="AW56" s="284"/>
    </row>
    <row r="57" spans="2:49" x14ac:dyDescent="0.2">
      <c r="B57" s="241" t="s">
        <v>272</v>
      </c>
      <c r="C57" s="199" t="s">
        <v>25</v>
      </c>
      <c r="D57" s="227">
        <f>4788+8025</f>
        <v>12813</v>
      </c>
      <c r="E57" s="228">
        <f>4788+8025</f>
        <v>12813</v>
      </c>
      <c r="F57" s="228"/>
      <c r="G57" s="228"/>
      <c r="H57" s="228"/>
      <c r="I57" s="227">
        <f>8025+4788</f>
        <v>12813</v>
      </c>
      <c r="J57" s="227">
        <f>674+28</f>
        <v>702</v>
      </c>
      <c r="K57" s="228">
        <f>674+28</f>
        <v>702</v>
      </c>
      <c r="L57" s="228"/>
      <c r="M57" s="228"/>
      <c r="N57" s="228"/>
      <c r="O57" s="227">
        <f>674+28</f>
        <v>702</v>
      </c>
      <c r="P57" s="227">
        <v>211</v>
      </c>
      <c r="Q57" s="228">
        <v>211</v>
      </c>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c r="AT57" s="229"/>
      <c r="AU57" s="229"/>
      <c r="AV57" s="229"/>
      <c r="AW57" s="285"/>
    </row>
    <row r="58" spans="2:49" x14ac:dyDescent="0.2">
      <c r="B58" s="241" t="s">
        <v>273</v>
      </c>
      <c r="C58" s="199" t="s">
        <v>26</v>
      </c>
      <c r="D58" s="305"/>
      <c r="E58" s="306"/>
      <c r="F58" s="306"/>
      <c r="G58" s="306"/>
      <c r="H58" s="306"/>
      <c r="I58" s="305"/>
      <c r="J58" s="227">
        <f>47+24</f>
        <v>71</v>
      </c>
      <c r="K58" s="228">
        <f>47+24</f>
        <v>71</v>
      </c>
      <c r="L58" s="228"/>
      <c r="M58" s="228"/>
      <c r="N58" s="228"/>
      <c r="O58" s="227">
        <f>47+24</f>
        <v>71</v>
      </c>
      <c r="P58" s="227">
        <v>3</v>
      </c>
      <c r="Q58" s="228">
        <v>3</v>
      </c>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c r="AT58" s="229"/>
      <c r="AU58" s="229"/>
      <c r="AV58" s="229"/>
      <c r="AW58" s="285"/>
    </row>
    <row r="59" spans="2:49" x14ac:dyDescent="0.2">
      <c r="B59" s="241" t="s">
        <v>274</v>
      </c>
      <c r="C59" s="199" t="s">
        <v>27</v>
      </c>
      <c r="D59" s="227">
        <f>92215+56185</f>
        <v>148400</v>
      </c>
      <c r="E59" s="228">
        <f>56185+92215</f>
        <v>148400</v>
      </c>
      <c r="F59" s="228"/>
      <c r="G59" s="228"/>
      <c r="H59" s="228"/>
      <c r="I59" s="227">
        <f>92215+56185</f>
        <v>148400</v>
      </c>
      <c r="J59" s="227">
        <f>269+6684</f>
        <v>6953</v>
      </c>
      <c r="K59" s="228">
        <f>6684+269</f>
        <v>6953</v>
      </c>
      <c r="L59" s="228"/>
      <c r="M59" s="228"/>
      <c r="N59" s="228"/>
      <c r="O59" s="227">
        <f>269+6684</f>
        <v>6953</v>
      </c>
      <c r="P59" s="227">
        <v>1685</v>
      </c>
      <c r="Q59" s="228">
        <v>1685</v>
      </c>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c r="AT59" s="229"/>
      <c r="AU59" s="229"/>
      <c r="AV59" s="229"/>
      <c r="AW59" s="285"/>
    </row>
    <row r="60" spans="2:49" x14ac:dyDescent="0.2">
      <c r="B60" s="241" t="s">
        <v>275</v>
      </c>
      <c r="C60" s="199"/>
      <c r="D60" s="230">
        <f>4682+7685</f>
        <v>12367</v>
      </c>
      <c r="E60" s="231">
        <f>7685+4682</f>
        <v>12367</v>
      </c>
      <c r="F60" s="231"/>
      <c r="G60" s="231"/>
      <c r="H60" s="231"/>
      <c r="I60" s="230">
        <f>7685+4682</f>
        <v>12367</v>
      </c>
      <c r="J60" s="230">
        <f>557+22</f>
        <v>579</v>
      </c>
      <c r="K60" s="231">
        <f>557+22</f>
        <v>579</v>
      </c>
      <c r="L60" s="231"/>
      <c r="M60" s="231"/>
      <c r="N60" s="231"/>
      <c r="O60" s="230">
        <f>557+22</f>
        <v>579</v>
      </c>
      <c r="P60" s="230">
        <v>140</v>
      </c>
      <c r="Q60" s="231">
        <v>140</v>
      </c>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230"/>
      <c r="AT60" s="232"/>
      <c r="AU60" s="232"/>
      <c r="AV60" s="232"/>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02" yWindow="43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O56" activeCellId="1" sqref="I56 O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f>9109024+22667858</f>
        <v>31776882</v>
      </c>
      <c r="E5" s="322">
        <f>28174228+13457110</f>
        <v>41631338</v>
      </c>
      <c r="F5" s="322"/>
      <c r="G5" s="324"/>
      <c r="H5" s="324"/>
      <c r="I5" s="321">
        <f>28174228+13457110</f>
        <v>41631338</v>
      </c>
      <c r="J5" s="321">
        <f>1122825+60439</f>
        <v>1183264</v>
      </c>
      <c r="K5" s="322">
        <f>20912+1767442</f>
        <v>1788354</v>
      </c>
      <c r="L5" s="322"/>
      <c r="M5" s="322"/>
      <c r="N5" s="322"/>
      <c r="O5" s="321">
        <f>20912+1767442</f>
        <v>1788354</v>
      </c>
      <c r="P5" s="321">
        <v>227594</v>
      </c>
      <c r="Q5" s="322">
        <v>221810</v>
      </c>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c r="AT5" s="323"/>
      <c r="AU5" s="323"/>
      <c r="AV5" s="365"/>
      <c r="AW5" s="369"/>
    </row>
    <row r="6" spans="2:49" x14ac:dyDescent="0.2">
      <c r="B6" s="339" t="s">
        <v>278</v>
      </c>
      <c r="C6" s="327" t="s">
        <v>8</v>
      </c>
      <c r="D6" s="314">
        <v>0</v>
      </c>
      <c r="E6" s="315">
        <v>0</v>
      </c>
      <c r="F6" s="315"/>
      <c r="G6" s="316"/>
      <c r="H6" s="316"/>
      <c r="I6" s="314">
        <v>0</v>
      </c>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x14ac:dyDescent="0.2">
      <c r="B7" s="339" t="s">
        <v>279</v>
      </c>
      <c r="C7" s="327" t="s">
        <v>9</v>
      </c>
      <c r="D7" s="314">
        <v>0</v>
      </c>
      <c r="E7" s="315">
        <v>0</v>
      </c>
      <c r="F7" s="315"/>
      <c r="G7" s="316"/>
      <c r="H7" s="316"/>
      <c r="I7" s="314">
        <v>0</v>
      </c>
      <c r="J7" s="314"/>
      <c r="K7" s="315"/>
      <c r="L7" s="315"/>
      <c r="M7" s="315"/>
      <c r="N7" s="315"/>
      <c r="O7" s="314"/>
      <c r="P7" s="314"/>
      <c r="Q7" s="315"/>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v>0</v>
      </c>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v>0</v>
      </c>
      <c r="F10" s="315"/>
      <c r="G10" s="315"/>
      <c r="H10" s="315"/>
      <c r="I10" s="314">
        <v>0</v>
      </c>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v>0</v>
      </c>
      <c r="E11" s="315">
        <v>0</v>
      </c>
      <c r="F11" s="315"/>
      <c r="G11" s="315"/>
      <c r="H11" s="315"/>
      <c r="I11" s="314">
        <v>0</v>
      </c>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v>0</v>
      </c>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v>0</v>
      </c>
      <c r="E13" s="315">
        <v>0</v>
      </c>
      <c r="F13" s="315"/>
      <c r="G13" s="315"/>
      <c r="H13" s="315"/>
      <c r="I13" s="314">
        <v>0</v>
      </c>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x14ac:dyDescent="0.2">
      <c r="B14" s="339" t="s">
        <v>284</v>
      </c>
      <c r="C14" s="327" t="s">
        <v>11</v>
      </c>
      <c r="D14" s="314">
        <v>0</v>
      </c>
      <c r="E14" s="315">
        <v>0</v>
      </c>
      <c r="F14" s="315"/>
      <c r="G14" s="315"/>
      <c r="H14" s="315"/>
      <c r="I14" s="314">
        <v>0</v>
      </c>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f>1178185+349531</f>
        <v>1527716</v>
      </c>
      <c r="E15" s="315">
        <f>2114169+349531</f>
        <v>2463700</v>
      </c>
      <c r="F15" s="315"/>
      <c r="G15" s="315"/>
      <c r="H15" s="315"/>
      <c r="I15" s="314">
        <f>2114169+349531</f>
        <v>2463700</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f>-10504218-5358558</f>
        <v>-15862776</v>
      </c>
      <c r="E16" s="315">
        <f>-10504218-5358558</f>
        <v>-15862776</v>
      </c>
      <c r="F16" s="315"/>
      <c r="G16" s="315"/>
      <c r="H16" s="315"/>
      <c r="I16" s="314">
        <f>-10504218-5358558</f>
        <v>-15862776</v>
      </c>
      <c r="J16" s="314">
        <f>-754425-36651</f>
        <v>-791076</v>
      </c>
      <c r="K16" s="315">
        <v>-754425</v>
      </c>
      <c r="L16" s="315"/>
      <c r="M16" s="315"/>
      <c r="N16" s="315"/>
      <c r="O16" s="314">
        <f>-36651-754425</f>
        <v>-791076</v>
      </c>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v>0</v>
      </c>
      <c r="E17" s="357">
        <f>139606+0</f>
        <v>139606</v>
      </c>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f>781265+365905</f>
        <v>1147170</v>
      </c>
      <c r="E18" s="315">
        <f>781265+365905</f>
        <v>1147170</v>
      </c>
      <c r="F18" s="315"/>
      <c r="G18" s="315"/>
      <c r="H18" s="315"/>
      <c r="I18" s="314">
        <f>365905+781265</f>
        <v>1147170</v>
      </c>
      <c r="J18" s="314">
        <f>18519+1542</f>
        <v>20061</v>
      </c>
      <c r="K18" s="315">
        <f>1542+18519</f>
        <v>20061</v>
      </c>
      <c r="L18" s="315"/>
      <c r="M18" s="315"/>
      <c r="N18" s="315"/>
      <c r="O18" s="314">
        <f>1542+18519</f>
        <v>20061</v>
      </c>
      <c r="P18" s="314">
        <v>5783</v>
      </c>
      <c r="Q18" s="315">
        <v>5783</v>
      </c>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v>0</v>
      </c>
      <c r="E19" s="315">
        <v>0</v>
      </c>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f>15392071+2922531</f>
        <v>18314602</v>
      </c>
      <c r="E20" s="315">
        <f>15392071+2922531</f>
        <v>18314602</v>
      </c>
      <c r="F20" s="315"/>
      <c r="G20" s="315"/>
      <c r="H20" s="315"/>
      <c r="I20" s="314">
        <f>15392071+2922531</f>
        <v>18314602</v>
      </c>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f>13410565+6896761</f>
        <v>20307326</v>
      </c>
      <c r="E23" s="358"/>
      <c r="F23" s="358"/>
      <c r="G23" s="358"/>
      <c r="H23" s="358"/>
      <c r="I23" s="360"/>
      <c r="J23" s="314">
        <f>970987+46792</f>
        <v>1017779</v>
      </c>
      <c r="K23" s="358"/>
      <c r="L23" s="358"/>
      <c r="M23" s="358"/>
      <c r="N23" s="358"/>
      <c r="O23" s="360"/>
      <c r="P23" s="314">
        <v>303219</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c r="AU23" s="317"/>
      <c r="AV23" s="364"/>
      <c r="AW23" s="370"/>
    </row>
    <row r="24" spans="2:49" ht="28.5" customHeight="1" x14ac:dyDescent="0.2">
      <c r="B24" s="341" t="s">
        <v>114</v>
      </c>
      <c r="C24" s="327"/>
      <c r="D24" s="361"/>
      <c r="E24" s="315">
        <f>7693208+17945456</f>
        <v>25638664</v>
      </c>
      <c r="F24" s="315"/>
      <c r="G24" s="315"/>
      <c r="H24" s="315"/>
      <c r="I24" s="314">
        <f>17945456+7693208</f>
        <v>25638664</v>
      </c>
      <c r="J24" s="361"/>
      <c r="K24" s="315">
        <f>1411567+4595</f>
        <v>1416162</v>
      </c>
      <c r="L24" s="315"/>
      <c r="M24" s="315"/>
      <c r="N24" s="315"/>
      <c r="O24" s="314">
        <f>5439+1411567</f>
        <v>1417006</v>
      </c>
      <c r="P24" s="361"/>
      <c r="Q24" s="315">
        <v>113295</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4">
        <f>4843900+1893174</f>
        <v>6737074</v>
      </c>
      <c r="E26" s="358"/>
      <c r="F26" s="358"/>
      <c r="G26" s="358"/>
      <c r="H26" s="358"/>
      <c r="I26" s="360"/>
      <c r="J26" s="314">
        <f>16901+292748</f>
        <v>309649</v>
      </c>
      <c r="K26" s="358"/>
      <c r="L26" s="358"/>
      <c r="M26" s="358"/>
      <c r="N26" s="358"/>
      <c r="O26" s="360"/>
      <c r="P26" s="314">
        <v>67989</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c r="AU26" s="317"/>
      <c r="AV26" s="364"/>
      <c r="AW26" s="370"/>
    </row>
    <row r="27" spans="2:49" s="5" customFormat="1" ht="25.5" x14ac:dyDescent="0.2">
      <c r="B27" s="341" t="s">
        <v>85</v>
      </c>
      <c r="C27" s="327"/>
      <c r="D27" s="361"/>
      <c r="E27" s="315">
        <f>925000+400000</f>
        <v>1325000</v>
      </c>
      <c r="F27" s="315"/>
      <c r="G27" s="315"/>
      <c r="H27" s="315"/>
      <c r="I27" s="314">
        <f>925000+400000</f>
        <v>1325000</v>
      </c>
      <c r="J27" s="361"/>
      <c r="K27" s="315">
        <f>25000+75000</f>
        <v>100000</v>
      </c>
      <c r="L27" s="315"/>
      <c r="M27" s="315"/>
      <c r="N27" s="315"/>
      <c r="O27" s="314">
        <f>5000+75000</f>
        <v>80000</v>
      </c>
      <c r="P27" s="361"/>
      <c r="Q27" s="315">
        <v>8000</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v>346751</v>
      </c>
      <c r="E28" s="359"/>
      <c r="F28" s="359"/>
      <c r="G28" s="359"/>
      <c r="H28" s="359"/>
      <c r="I28" s="361"/>
      <c r="J28" s="314">
        <f>75029+0</f>
        <v>75029</v>
      </c>
      <c r="K28" s="359"/>
      <c r="L28" s="359"/>
      <c r="M28" s="359"/>
      <c r="N28" s="359"/>
      <c r="O28" s="361"/>
      <c r="P28" s="314"/>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v>0</v>
      </c>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v>0</v>
      </c>
      <c r="F31" s="315"/>
      <c r="G31" s="315"/>
      <c r="H31" s="315"/>
      <c r="I31" s="314">
        <v>0</v>
      </c>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v>0</v>
      </c>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v>0</v>
      </c>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v>0</v>
      </c>
      <c r="F35" s="315"/>
      <c r="G35" s="315"/>
      <c r="H35" s="315"/>
      <c r="I35" s="314">
        <v>0</v>
      </c>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v>0</v>
      </c>
      <c r="E36" s="315">
        <v>0</v>
      </c>
      <c r="F36" s="315"/>
      <c r="G36" s="315"/>
      <c r="H36" s="315"/>
      <c r="I36" s="314">
        <v>0</v>
      </c>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v>0</v>
      </c>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v>0</v>
      </c>
      <c r="F39" s="315"/>
      <c r="G39" s="315"/>
      <c r="H39" s="315"/>
      <c r="I39" s="314">
        <v>0</v>
      </c>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v>0</v>
      </c>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v>0</v>
      </c>
      <c r="F42" s="315"/>
      <c r="G42" s="315"/>
      <c r="H42" s="315"/>
      <c r="I42" s="314">
        <v>0</v>
      </c>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v>0</v>
      </c>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v>0</v>
      </c>
      <c r="E45" s="315">
        <v>0</v>
      </c>
      <c r="F45" s="315"/>
      <c r="G45" s="315"/>
      <c r="H45" s="315"/>
      <c r="I45" s="314">
        <v>0</v>
      </c>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
      <c r="B46" s="339" t="s">
        <v>116</v>
      </c>
      <c r="C46" s="327" t="s">
        <v>31</v>
      </c>
      <c r="D46" s="314">
        <v>0</v>
      </c>
      <c r="E46" s="315">
        <v>0</v>
      </c>
      <c r="F46" s="315"/>
      <c r="G46" s="315"/>
      <c r="H46" s="315"/>
      <c r="I46" s="314">
        <v>0</v>
      </c>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
      <c r="B47" s="339" t="s">
        <v>117</v>
      </c>
      <c r="C47" s="327" t="s">
        <v>32</v>
      </c>
      <c r="D47" s="314">
        <v>0</v>
      </c>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c r="E49" s="315">
        <v>0</v>
      </c>
      <c r="F49" s="315"/>
      <c r="G49" s="315"/>
      <c r="H49" s="315"/>
      <c r="I49" s="314">
        <v>0</v>
      </c>
      <c r="J49" s="314"/>
      <c r="K49" s="315"/>
      <c r="L49" s="315"/>
      <c r="M49" s="315"/>
      <c r="N49" s="315"/>
      <c r="O49" s="314"/>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x14ac:dyDescent="0.2">
      <c r="B50" s="339" t="s">
        <v>119</v>
      </c>
      <c r="C50" s="327" t="s">
        <v>34</v>
      </c>
      <c r="D50" s="314"/>
      <c r="E50" s="359"/>
      <c r="F50" s="359"/>
      <c r="G50" s="359"/>
      <c r="H50" s="359"/>
      <c r="I50" s="361"/>
      <c r="J50" s="314"/>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x14ac:dyDescent="0.2">
      <c r="B51" s="339" t="s">
        <v>299</v>
      </c>
      <c r="C51" s="327"/>
      <c r="D51" s="314"/>
      <c r="E51" s="315">
        <v>0</v>
      </c>
      <c r="F51" s="315"/>
      <c r="G51" s="315"/>
      <c r="H51" s="315"/>
      <c r="I51" s="314">
        <v>0</v>
      </c>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314"/>
      <c r="E52" s="315">
        <v>0</v>
      </c>
      <c r="F52" s="315"/>
      <c r="G52" s="315"/>
      <c r="H52" s="315"/>
      <c r="I52" s="314">
        <v>0</v>
      </c>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v>0</v>
      </c>
      <c r="F53" s="315"/>
      <c r="G53" s="315"/>
      <c r="H53" s="315"/>
      <c r="I53" s="314">
        <v>0</v>
      </c>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318">
        <f>8443185+18254465</f>
        <v>26697650</v>
      </c>
      <c r="E54" s="319">
        <f>8093208+18870456</f>
        <v>26963664</v>
      </c>
      <c r="F54" s="319"/>
      <c r="G54" s="319"/>
      <c r="H54" s="319"/>
      <c r="I54" s="318">
        <f>18870456+8093208</f>
        <v>26963664</v>
      </c>
      <c r="J54" s="318">
        <f>1188707+63693</f>
        <v>1252400</v>
      </c>
      <c r="K54" s="319">
        <f>10439+1486567</f>
        <v>1497006</v>
      </c>
      <c r="L54" s="319"/>
      <c r="M54" s="319"/>
      <c r="N54" s="319"/>
      <c r="O54" s="318">
        <f>1486567+10439</f>
        <v>1497006</v>
      </c>
      <c r="P54" s="318">
        <v>371208</v>
      </c>
      <c r="Q54" s="319">
        <v>121295</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c r="AU54" s="320"/>
      <c r="AV54" s="364"/>
      <c r="AW54" s="370"/>
    </row>
    <row r="55" spans="2:49" ht="25.5" x14ac:dyDescent="0.2">
      <c r="B55" s="344" t="s">
        <v>493</v>
      </c>
      <c r="C55" s="331" t="s">
        <v>28</v>
      </c>
      <c r="D55" s="318">
        <v>0</v>
      </c>
      <c r="E55" s="319">
        <v>0</v>
      </c>
      <c r="F55" s="319"/>
      <c r="G55" s="319"/>
      <c r="H55" s="319"/>
      <c r="I55" s="318">
        <v>0</v>
      </c>
      <c r="J55" s="318"/>
      <c r="K55" s="319"/>
      <c r="L55" s="319"/>
      <c r="M55" s="319"/>
      <c r="N55" s="319"/>
      <c r="O55" s="318"/>
      <c r="P55" s="318"/>
      <c r="Q55" s="319"/>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c r="AU55" s="320"/>
      <c r="AV55" s="364"/>
      <c r="AW55" s="370"/>
    </row>
    <row r="56" spans="2:49" ht="11.85" customHeight="1" x14ac:dyDescent="0.2">
      <c r="B56" s="339" t="s">
        <v>120</v>
      </c>
      <c r="C56" s="331" t="s">
        <v>412</v>
      </c>
      <c r="D56" s="314">
        <f>58675.12+72945.48</f>
        <v>131620.6</v>
      </c>
      <c r="E56" s="315">
        <f>58675.12+72945.48</f>
        <v>131620.6</v>
      </c>
      <c r="F56" s="315"/>
      <c r="G56" s="315"/>
      <c r="H56" s="315"/>
      <c r="I56" s="314">
        <f>+E56</f>
        <v>131620.6</v>
      </c>
      <c r="J56" s="314">
        <f>8260.81+254.52</f>
        <v>8515.33</v>
      </c>
      <c r="K56" s="315">
        <f>8260.81+254.52</f>
        <v>8515.33</v>
      </c>
      <c r="L56" s="315"/>
      <c r="M56" s="315"/>
      <c r="N56" s="315"/>
      <c r="O56" s="314">
        <f>+K56</f>
        <v>8515.33</v>
      </c>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x14ac:dyDescent="0.2">
      <c r="B57" s="339" t="s">
        <v>121</v>
      </c>
      <c r="C57" s="331"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x14ac:dyDescent="0.2">
      <c r="B58" s="347" t="s">
        <v>494</v>
      </c>
      <c r="C58" s="348"/>
      <c r="D58" s="349"/>
      <c r="E58" s="350">
        <f>1686894+621556</f>
        <v>2308450</v>
      </c>
      <c r="F58" s="350"/>
      <c r="G58" s="350"/>
      <c r="H58" s="350"/>
      <c r="I58" s="349">
        <f>E58</f>
        <v>2308450</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78" yWindow="77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20" sqref="J20"/>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6"/>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ht="14.25" thickTop="1" thickBot="1" x14ac:dyDescent="0.25">
      <c r="A5" s="106"/>
      <c r="B5" s="410" t="s">
        <v>308</v>
      </c>
      <c r="C5" s="398"/>
      <c r="D5" s="399"/>
      <c r="E5" s="450"/>
      <c r="F5" s="450"/>
      <c r="G5" s="444"/>
      <c r="H5" s="398"/>
      <c r="I5" s="399"/>
      <c r="J5" s="450"/>
      <c r="K5" s="450"/>
      <c r="L5" s="444"/>
      <c r="M5" s="398"/>
      <c r="N5" s="399"/>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7" thickTop="1" thickBot="1" x14ac:dyDescent="0.25">
      <c r="A6" s="106"/>
      <c r="B6" s="411" t="s">
        <v>309</v>
      </c>
      <c r="C6" s="398"/>
      <c r="D6" s="394"/>
      <c r="E6" s="396">
        <f>8093208+18870456</f>
        <v>26963664</v>
      </c>
      <c r="F6" s="396">
        <f>E6</f>
        <v>26963664</v>
      </c>
      <c r="G6" s="396">
        <f>F6</f>
        <v>26963664</v>
      </c>
      <c r="H6" s="393"/>
      <c r="I6" s="394"/>
      <c r="J6" s="396">
        <f>10439+1486567</f>
        <v>1497006</v>
      </c>
      <c r="K6" s="396">
        <f>10439+1486567</f>
        <v>1497006</v>
      </c>
      <c r="L6" s="396">
        <f>K6</f>
        <v>1497006</v>
      </c>
      <c r="M6" s="393"/>
      <c r="N6" s="394"/>
      <c r="O6" s="396">
        <f>'[1]Pt 3 MLR and Rebate Calculation'!$O$6</f>
        <v>121295</v>
      </c>
      <c r="P6" s="396">
        <f>O6</f>
        <v>121295</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ht="13.5" thickTop="1" x14ac:dyDescent="0.2">
      <c r="B7" s="411" t="s">
        <v>310</v>
      </c>
      <c r="C7" s="398"/>
      <c r="D7" s="394"/>
      <c r="E7" s="396">
        <f>505965+714254</f>
        <v>1220219</v>
      </c>
      <c r="F7" s="396">
        <f>'[1]Pt 3 MLR and Rebate Calculation'!$E$7+'[2]Pt 3 MLR and Rebate Calculation'!$E$7</f>
        <v>1220219</v>
      </c>
      <c r="G7" s="396">
        <f>'[1]Pt 3 MLR and Rebate Calculation'!$E$7+'[2]Pt 3 MLR and Rebate Calculation'!$E$7</f>
        <v>1220219</v>
      </c>
      <c r="H7" s="393"/>
      <c r="I7" s="394"/>
      <c r="J7" s="396">
        <f>2492+71234</f>
        <v>73726</v>
      </c>
      <c r="K7" s="396">
        <f>'[2]Pt 3 MLR and Rebate Calculation'!$K$7+'[1]Pt 3 MLR and Rebate Calculation'!$K$7</f>
        <v>73726</v>
      </c>
      <c r="L7" s="397">
        <f>'[1]Pt 3 MLR and Rebate Calculation'!$L$7+'[2]Pt 3 MLR and Rebate Calculation'!$L$7</f>
        <v>73726</v>
      </c>
      <c r="M7" s="393"/>
      <c r="N7" s="394"/>
      <c r="O7" s="396">
        <v>22245</v>
      </c>
      <c r="P7" s="396">
        <v>22245</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40"/>
      <c r="D8" s="394"/>
      <c r="E8" s="396">
        <f>1686894+621556</f>
        <v>2308450</v>
      </c>
      <c r="F8" s="396">
        <f>'[2]Pt 3 MLR and Rebate Calculation'!$E$8+'[1]Pt 3 MLR and Rebate Calculation'!$E$8</f>
        <v>2308449.5499999998</v>
      </c>
      <c r="G8" s="396">
        <f>'[2]Pt 3 MLR and Rebate Calculation'!$E$8+'[1]Pt 3 MLR and Rebate Calculation'!$E$8</f>
        <v>2308449.5499999998</v>
      </c>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9"/>
      <c r="D9" s="394"/>
      <c r="E9" s="396">
        <f>2114169+349531</f>
        <v>2463700</v>
      </c>
      <c r="F9" s="396">
        <f>'[1]Pt 3 MLR and Rebate Calculation'!$E$9+'[2]Pt 3 MLR and Rebate Calculation'!$E$9</f>
        <v>2463700.44</v>
      </c>
      <c r="G9" s="396">
        <f>'[1]Pt 3 MLR and Rebate Calculation'!$E$9+'[2]Pt 3 MLR and Rebate Calculation'!$E$9</f>
        <v>2463700.44</v>
      </c>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9"/>
      <c r="D10" s="394"/>
      <c r="E10" s="396">
        <f>-10504218-5358558</f>
        <v>-15862776</v>
      </c>
      <c r="F10" s="396">
        <f>'[2]Pt 3 MLR and Rebate Calculation'!$E$10+'[1]Pt 3 MLR and Rebate Calculation'!$E$10</f>
        <v>-15862776.18</v>
      </c>
      <c r="G10" s="396">
        <f>'[2]Pt 3 MLR and Rebate Calculation'!$E$10+'[1]Pt 3 MLR and Rebate Calculation'!$E$10</f>
        <v>-15862776.18</v>
      </c>
      <c r="H10" s="439"/>
      <c r="I10" s="394"/>
      <c r="J10" s="396">
        <f>'[1]Pt 3 MLR and Rebate Calculation'!$J$10+'[2]Pt 3 MLR and Rebate Calculation'!$J$10</f>
        <v>-754425</v>
      </c>
      <c r="K10" s="396">
        <f>'[2]Pt 3 MLR and Rebate Calculation'!$K$10+'[1]Pt 3 MLR and Rebate Calculation'!$K$10</f>
        <v>-754425</v>
      </c>
      <c r="L10" s="397">
        <f>'[1]Pt 3 MLR and Rebate Calculation'!$L$10+'[2]Pt 3 MLR and Rebate Calculation'!$L$10</f>
        <v>-791075.82</v>
      </c>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9"/>
      <c r="D11" s="394"/>
      <c r="E11" s="396">
        <v>139606</v>
      </c>
      <c r="F11" s="396">
        <f>'[1]Pt 3 MLR and Rebate Calculation'!$E$11</f>
        <v>139606</v>
      </c>
      <c r="G11" s="446"/>
      <c r="H11" s="439"/>
      <c r="I11" s="394"/>
      <c r="J11" s="396">
        <f>'[2]Pt 3 MLR and Rebate Calculation'!$J$11+'[1]Pt 3 MLR and Rebate Calculation'!$J$11</f>
        <v>0</v>
      </c>
      <c r="K11" s="396">
        <f>'[1]Pt 3 MLR and Rebate Calculation'!$K$11+'[2]Pt 3 MLR and Rebate Calculation'!$K$11</f>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7"/>
      <c r="B12" s="412" t="s">
        <v>315</v>
      </c>
      <c r="C12" s="395"/>
      <c r="D12" s="396"/>
      <c r="E12" s="396">
        <f>15068424+26287865</f>
        <v>41356289</v>
      </c>
      <c r="F12" s="396">
        <f>15068424+26287865</f>
        <v>41356289</v>
      </c>
      <c r="G12" s="443"/>
      <c r="H12" s="395"/>
      <c r="I12" s="396"/>
      <c r="J12" s="396">
        <f>12931+2312226</f>
        <v>2325157</v>
      </c>
      <c r="K12" s="396">
        <f>12931+2312226</f>
        <v>2325157</v>
      </c>
      <c r="L12" s="443"/>
      <c r="M12" s="395"/>
      <c r="N12" s="396"/>
      <c r="O12" s="396">
        <v>143540</v>
      </c>
      <c r="P12" s="396">
        <v>143540</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7"/>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398"/>
      <c r="D15" s="399"/>
      <c r="E15" s="391">
        <f>28174228+13457110</f>
        <v>41631338</v>
      </c>
      <c r="F15" s="391">
        <f>E15</f>
        <v>41631338</v>
      </c>
      <c r="G15" s="392">
        <f>F15</f>
        <v>41631338</v>
      </c>
      <c r="H15" s="398"/>
      <c r="I15" s="399"/>
      <c r="J15" s="391">
        <f>20912+1767442</f>
        <v>1788354</v>
      </c>
      <c r="K15" s="391">
        <f>J15</f>
        <v>1788354</v>
      </c>
      <c r="L15" s="392">
        <f>K15</f>
        <v>1788354</v>
      </c>
      <c r="M15" s="398"/>
      <c r="N15" s="399"/>
      <c r="O15" s="391">
        <v>221810</v>
      </c>
      <c r="P15" s="391">
        <v>221810</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393"/>
      <c r="D16" s="394"/>
      <c r="E16" s="396">
        <f>823194+259751</f>
        <v>1082945</v>
      </c>
      <c r="F16" s="396">
        <f>E16</f>
        <v>1082945</v>
      </c>
      <c r="G16" s="397">
        <f>'[2]Pt 3 MLR and Rebate Calculation'!$G$16+'[1]Pt 3 MLR and Rebate Calculation'!$G$16</f>
        <v>1082944.5899999999</v>
      </c>
      <c r="H16" s="393"/>
      <c r="I16" s="394"/>
      <c r="J16" s="396">
        <f>1688+1288</f>
        <v>2976</v>
      </c>
      <c r="K16" s="396">
        <f>J16</f>
        <v>2976</v>
      </c>
      <c r="L16" s="397">
        <f>K16</f>
        <v>2976</v>
      </c>
      <c r="M16" s="393"/>
      <c r="N16" s="394"/>
      <c r="O16" s="396">
        <v>402</v>
      </c>
      <c r="P16" s="396">
        <v>402</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7"/>
      <c r="B17" s="412" t="s">
        <v>318</v>
      </c>
      <c r="C17" s="395"/>
      <c r="D17" s="396"/>
      <c r="E17" s="396">
        <f>27351034+14963514</f>
        <v>42314548</v>
      </c>
      <c r="F17" s="396">
        <f>E17</f>
        <v>42314548</v>
      </c>
      <c r="G17" s="446"/>
      <c r="H17" s="395"/>
      <c r="I17" s="396"/>
      <c r="J17" s="396">
        <f>19224+14963514</f>
        <v>14982738</v>
      </c>
      <c r="K17" s="396">
        <f>'[2]Pt 3 MLR and Rebate Calculation'!$K$17+'[1]Pt 3 MLR and Rebate Calculation'!$K$17</f>
        <v>14982737.68</v>
      </c>
      <c r="L17" s="446"/>
      <c r="M17" s="395"/>
      <c r="N17" s="396"/>
      <c r="O17" s="396">
        <v>221408</v>
      </c>
      <c r="P17" s="396">
        <v>221408</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f>26287865+15298870</f>
        <v>41586735</v>
      </c>
      <c r="H19" s="451"/>
      <c r="I19" s="450"/>
      <c r="J19" s="450"/>
      <c r="K19" s="450"/>
      <c r="L19" s="392">
        <f>49582+15208239</f>
        <v>15257821</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397">
        <f>21660416+24926151</f>
        <v>46586567</v>
      </c>
      <c r="H20" s="439"/>
      <c r="I20" s="437"/>
      <c r="J20" s="437"/>
      <c r="K20" s="437"/>
      <c r="L20" s="397">
        <f>79476+21660416</f>
        <v>21739892</v>
      </c>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397">
        <f>1367552+748176</f>
        <v>2115728</v>
      </c>
      <c r="H21" s="439"/>
      <c r="I21" s="437"/>
      <c r="J21" s="437"/>
      <c r="K21" s="437"/>
      <c r="L21" s="397">
        <f>961+748176</f>
        <v>749137</v>
      </c>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397">
        <f>-23862982-21905142</f>
        <v>-45768124</v>
      </c>
      <c r="H22" s="439"/>
      <c r="I22" s="437"/>
      <c r="J22" s="437"/>
      <c r="K22" s="437"/>
      <c r="L22" s="397">
        <f>-109833-21905142</f>
        <v>-22014975</v>
      </c>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397">
        <f>1367552+748176</f>
        <v>2115728</v>
      </c>
      <c r="H23" s="439"/>
      <c r="I23" s="437"/>
      <c r="J23" s="437"/>
      <c r="K23" s="437"/>
      <c r="L23" s="397">
        <f>961+748176</f>
        <v>749137</v>
      </c>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397">
        <f>820531+448905</f>
        <v>1269436</v>
      </c>
      <c r="H24" s="439"/>
      <c r="I24" s="437"/>
      <c r="J24" s="437"/>
      <c r="K24" s="437"/>
      <c r="L24" s="397">
        <f>448905+577</f>
        <v>449482</v>
      </c>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397">
        <f>6840421+3553011</f>
        <v>10393432</v>
      </c>
      <c r="H25" s="439"/>
      <c r="I25" s="437"/>
      <c r="J25" s="437"/>
      <c r="K25" s="437"/>
      <c r="L25" s="397">
        <f>5917+3553011</f>
        <v>3558928</v>
      </c>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397">
        <f>27116897+22669630</f>
        <v>49786527</v>
      </c>
      <c r="H26" s="439"/>
      <c r="I26" s="437"/>
      <c r="J26" s="437"/>
      <c r="K26" s="437"/>
      <c r="L26" s="397">
        <f>82125+22669630</f>
        <v>22751755</v>
      </c>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397">
        <f>6840421+3553011</f>
        <v>10393432</v>
      </c>
      <c r="H27" s="439"/>
      <c r="I27" s="437"/>
      <c r="J27" s="437"/>
      <c r="K27" s="437"/>
      <c r="L27" s="397">
        <f>5917+3553011</f>
        <v>3558928</v>
      </c>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397">
        <f>21333807+11671541</f>
        <v>33005348</v>
      </c>
      <c r="H28" s="439"/>
      <c r="I28" s="437"/>
      <c r="J28" s="437"/>
      <c r="K28" s="437"/>
      <c r="L28" s="397">
        <f>14995+11671541</f>
        <v>11686536</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397">
        <f>6293401+3253741</f>
        <v>9547142</v>
      </c>
      <c r="H29" s="439"/>
      <c r="I29" s="437"/>
      <c r="J29" s="437"/>
      <c r="K29" s="437"/>
      <c r="L29" s="397">
        <f>5532+3253741</f>
        <v>3259273</v>
      </c>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f>820531+448905</f>
        <v>1269436</v>
      </c>
      <c r="H30" s="439"/>
      <c r="I30" s="437"/>
      <c r="J30" s="437"/>
      <c r="K30" s="437"/>
      <c r="L30" s="467">
        <f>577+448905</f>
        <v>449482</v>
      </c>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397">
        <f>26569876+22370360</f>
        <v>48940236</v>
      </c>
      <c r="H31" s="439"/>
      <c r="I31" s="437"/>
      <c r="J31" s="437"/>
      <c r="K31" s="437"/>
      <c r="L31" s="397">
        <f>22370360+81740</f>
        <v>22452100</v>
      </c>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397">
        <f>6293401+3253741</f>
        <v>9547142</v>
      </c>
      <c r="H32" s="439"/>
      <c r="I32" s="437"/>
      <c r="J32" s="437"/>
      <c r="K32" s="437"/>
      <c r="L32" s="397">
        <f>5532+3253741</f>
        <v>3259273</v>
      </c>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397">
        <f>11970811+21880827</f>
        <v>33851638</v>
      </c>
      <c r="H33" s="439"/>
      <c r="I33" s="437"/>
      <c r="J33" s="437"/>
      <c r="K33" s="437"/>
      <c r="L33" s="397">
        <f>11970811+15380</f>
        <v>11986191</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65">
        <f>G19/G33</f>
        <v>1.228499932558655</v>
      </c>
      <c r="H34" s="458"/>
      <c r="I34" s="459"/>
      <c r="J34" s="459"/>
      <c r="K34" s="459"/>
      <c r="L34" s="465">
        <f>L19/L33</f>
        <v>1.2729499304658169</v>
      </c>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x14ac:dyDescent="0.2">
      <c r="B35" s="415" t="s">
        <v>483</v>
      </c>
      <c r="C35" s="439"/>
      <c r="D35" s="437"/>
      <c r="E35" s="437"/>
      <c r="F35" s="437"/>
      <c r="G35" s="473">
        <f>1876609+2672278</f>
        <v>4548887</v>
      </c>
      <c r="H35" s="439"/>
      <c r="I35" s="437"/>
      <c r="J35" s="437"/>
      <c r="K35" s="437"/>
      <c r="L35" s="473">
        <f>246472+26762</f>
        <v>273234</v>
      </c>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74">
        <f>2672278+1702509</f>
        <v>4374787</v>
      </c>
      <c r="H36" s="439"/>
      <c r="I36" s="437"/>
      <c r="J36" s="437"/>
      <c r="K36" s="437"/>
      <c r="L36" s="474">
        <f>127515+26762</f>
        <v>154277</v>
      </c>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c r="D38" s="401"/>
      <c r="E38" s="428">
        <f>5239+7685</f>
        <v>12924</v>
      </c>
      <c r="F38" s="428">
        <f>E38</f>
        <v>12924</v>
      </c>
      <c r="G38" s="444"/>
      <c r="H38" s="400"/>
      <c r="I38" s="401"/>
      <c r="J38" s="428">
        <f>5239+22</f>
        <v>5261</v>
      </c>
      <c r="K38" s="428">
        <f>J38</f>
        <v>5261</v>
      </c>
      <c r="L38" s="444"/>
      <c r="M38" s="400"/>
      <c r="N38" s="401"/>
      <c r="O38" s="428">
        <v>140</v>
      </c>
      <c r="P38" s="428">
        <v>140</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v>1.6E-2</v>
      </c>
      <c r="G39" s="457"/>
      <c r="H39" s="455"/>
      <c r="I39" s="456"/>
      <c r="J39" s="456"/>
      <c r="K39" s="435">
        <v>2.5999999999999999E-2</v>
      </c>
      <c r="L39" s="457"/>
      <c r="M39" s="455"/>
      <c r="N39" s="456"/>
      <c r="O39" s="456"/>
      <c r="P39" s="435">
        <v>8.3000000000000004E-2</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6"/>
      <c r="B40" s="417" t="s">
        <v>321</v>
      </c>
      <c r="C40" s="439"/>
      <c r="D40" s="437"/>
      <c r="E40" s="437"/>
      <c r="F40" s="394"/>
      <c r="G40" s="443"/>
      <c r="H40" s="439"/>
      <c r="I40" s="437"/>
      <c r="J40" s="437"/>
      <c r="K40" s="394"/>
      <c r="L40" s="443"/>
      <c r="M40" s="439"/>
      <c r="N40" s="437"/>
      <c r="O40" s="437"/>
      <c r="P40" s="394"/>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8"/>
      <c r="B41" s="411" t="s">
        <v>322</v>
      </c>
      <c r="C41" s="439"/>
      <c r="D41" s="437"/>
      <c r="E41" s="437"/>
      <c r="F41" s="430"/>
      <c r="G41" s="443"/>
      <c r="H41" s="439"/>
      <c r="I41" s="437"/>
      <c r="J41" s="437"/>
      <c r="K41" s="430"/>
      <c r="L41" s="443"/>
      <c r="M41" s="439"/>
      <c r="N41" s="437"/>
      <c r="O41" s="437"/>
      <c r="P41" s="430">
        <v>1</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c r="G42" s="443"/>
      <c r="H42" s="439"/>
      <c r="I42" s="437"/>
      <c r="J42" s="437"/>
      <c r="K42" s="432"/>
      <c r="L42" s="443"/>
      <c r="M42" s="439"/>
      <c r="N42" s="437"/>
      <c r="O42" s="437"/>
      <c r="P42" s="432"/>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c r="D45" s="432"/>
      <c r="E45" s="432">
        <f>E12/E17</f>
        <v>0.97735391147271622</v>
      </c>
      <c r="F45" s="432">
        <f>F12/F17</f>
        <v>0.97735391147271622</v>
      </c>
      <c r="G45" s="443"/>
      <c r="H45" s="434"/>
      <c r="I45" s="432"/>
      <c r="J45" s="432">
        <f>J12/J17</f>
        <v>0.15518905823488338</v>
      </c>
      <c r="K45" s="432">
        <f>K12/K17</f>
        <v>0.15518906154939768</v>
      </c>
      <c r="L45" s="443"/>
      <c r="M45" s="434"/>
      <c r="N45" s="432"/>
      <c r="O45" s="432"/>
      <c r="P45" s="432">
        <f>P12/P17</f>
        <v>0.64830539095244977</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6"/>
      <c r="B47" s="417" t="s">
        <v>328</v>
      </c>
      <c r="C47" s="439"/>
      <c r="D47" s="437"/>
      <c r="E47" s="437"/>
      <c r="F47" s="432">
        <f>F39</f>
        <v>1.6E-2</v>
      </c>
      <c r="G47" s="443"/>
      <c r="H47" s="439"/>
      <c r="I47" s="437"/>
      <c r="J47" s="437"/>
      <c r="K47" s="432">
        <f>K39</f>
        <v>2.5999999999999999E-2</v>
      </c>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7"/>
      <c r="B48" s="419" t="s">
        <v>327</v>
      </c>
      <c r="C48" s="439"/>
      <c r="D48" s="437"/>
      <c r="E48" s="437"/>
      <c r="F48" s="432">
        <f>F45+F47</f>
        <v>0.99335391147271623</v>
      </c>
      <c r="G48" s="443"/>
      <c r="H48" s="439"/>
      <c r="I48" s="437"/>
      <c r="J48" s="437"/>
      <c r="K48" s="432">
        <f>K45+K47</f>
        <v>0.18118906154939768</v>
      </c>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6"/>
      <c r="B50" s="410" t="s">
        <v>330</v>
      </c>
      <c r="C50" s="402"/>
      <c r="D50" s="403"/>
      <c r="E50" s="403">
        <v>0.8</v>
      </c>
      <c r="F50" s="403">
        <v>0.8</v>
      </c>
      <c r="G50" s="444"/>
      <c r="H50" s="402"/>
      <c r="I50" s="403"/>
      <c r="J50" s="403">
        <v>0.8</v>
      </c>
      <c r="K50" s="403">
        <v>0.8</v>
      </c>
      <c r="L50" s="444"/>
      <c r="M50" s="402" t="s">
        <v>501</v>
      </c>
      <c r="N50" s="403"/>
      <c r="O50" s="403">
        <v>0.85</v>
      </c>
      <c r="P50" s="403">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f>F48</f>
        <v>0.99335391147271623</v>
      </c>
      <c r="G51" s="443"/>
      <c r="H51" s="440"/>
      <c r="I51" s="438"/>
      <c r="J51" s="438"/>
      <c r="K51" s="432">
        <f>K48</f>
        <v>0.18118906154939768</v>
      </c>
      <c r="L51" s="443"/>
      <c r="M51" s="440"/>
      <c r="N51" s="438"/>
      <c r="O51" s="438"/>
      <c r="P51" s="432">
        <f>P48</f>
        <v>0</v>
      </c>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6"/>
      <c r="B52" s="415" t="s">
        <v>332</v>
      </c>
      <c r="C52" s="439"/>
      <c r="D52" s="437"/>
      <c r="E52" s="437"/>
      <c r="F52" s="396">
        <f>F15-F16</f>
        <v>40548393</v>
      </c>
      <c r="G52" s="443"/>
      <c r="H52" s="439"/>
      <c r="I52" s="437"/>
      <c r="J52" s="437"/>
      <c r="K52" s="396">
        <f>K15-K16</f>
        <v>1785378</v>
      </c>
      <c r="L52" s="443"/>
      <c r="M52" s="439"/>
      <c r="N52" s="437"/>
      <c r="O52" s="437"/>
      <c r="P52" s="396">
        <f>P15-P16</f>
        <v>221408</v>
      </c>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7"/>
      <c r="B53" s="412" t="s">
        <v>333</v>
      </c>
      <c r="C53" s="439"/>
      <c r="D53" s="437"/>
      <c r="E53" s="437"/>
      <c r="F53" s="396">
        <v>0</v>
      </c>
      <c r="G53" s="443"/>
      <c r="H53" s="439"/>
      <c r="I53" s="437"/>
      <c r="J53" s="437"/>
      <c r="K53" s="396">
        <v>0</v>
      </c>
      <c r="L53" s="443"/>
      <c r="M53" s="439"/>
      <c r="N53" s="437"/>
      <c r="O53" s="437"/>
      <c r="P53" s="396">
        <v>0</v>
      </c>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x14ac:dyDescent="0.2">
      <c r="A60" s="84"/>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6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f>5797+3727</f>
        <v>9524</v>
      </c>
      <c r="D4" s="103">
        <f>18+400</f>
        <v>418</v>
      </c>
      <c r="E4" s="103">
        <v>136</v>
      </c>
      <c r="F4" s="103">
        <v>0</v>
      </c>
      <c r="G4" s="103">
        <v>0</v>
      </c>
      <c r="H4" s="103">
        <v>0</v>
      </c>
      <c r="I4" s="183" t="s">
        <v>501</v>
      </c>
      <c r="J4" s="183"/>
      <c r="K4" s="188">
        <v>0</v>
      </c>
    </row>
    <row r="5" spans="2:11" ht="16.5" x14ac:dyDescent="0.25">
      <c r="B5" s="121" t="s">
        <v>342</v>
      </c>
      <c r="C5" s="161"/>
      <c r="D5" s="162"/>
      <c r="E5" s="162"/>
      <c r="F5" s="162"/>
      <c r="G5" s="162"/>
      <c r="H5" s="162"/>
      <c r="I5" s="162"/>
      <c r="J5" s="162"/>
      <c r="K5" s="189"/>
    </row>
    <row r="6" spans="2:11" x14ac:dyDescent="0.2">
      <c r="B6" s="122" t="s">
        <v>101</v>
      </c>
      <c r="C6" s="181"/>
      <c r="D6" s="99"/>
      <c r="E6" s="99"/>
      <c r="F6" s="182"/>
      <c r="G6" s="99"/>
      <c r="H6" s="99"/>
      <c r="I6" s="182"/>
      <c r="J6" s="182"/>
      <c r="K6" s="186"/>
    </row>
    <row r="7" spans="2:11" x14ac:dyDescent="0.2">
      <c r="B7" s="115" t="s">
        <v>102</v>
      </c>
      <c r="C7" s="100"/>
      <c r="D7" s="101"/>
      <c r="E7" s="101"/>
      <c r="F7" s="101"/>
      <c r="G7" s="101"/>
      <c r="H7" s="101"/>
      <c r="I7" s="187"/>
      <c r="J7" s="187"/>
      <c r="K7" s="190"/>
    </row>
    <row r="8" spans="2:11" x14ac:dyDescent="0.2">
      <c r="B8" s="115" t="s">
        <v>103</v>
      </c>
      <c r="C8" s="180"/>
      <c r="D8" s="101"/>
      <c r="E8" s="101"/>
      <c r="F8" s="183"/>
      <c r="G8" s="101"/>
      <c r="H8" s="101"/>
      <c r="I8" s="187"/>
      <c r="J8" s="187"/>
      <c r="K8" s="191"/>
    </row>
    <row r="9" spans="2:11" ht="13.15" customHeight="1" x14ac:dyDescent="0.2">
      <c r="B9" s="115" t="s">
        <v>104</v>
      </c>
      <c r="C9" s="100"/>
      <c r="D9" s="101"/>
      <c r="E9" s="101"/>
      <c r="F9" s="101"/>
      <c r="G9" s="101"/>
      <c r="H9" s="101"/>
      <c r="I9" s="187"/>
      <c r="J9" s="187"/>
      <c r="K9" s="190"/>
    </row>
    <row r="10" spans="2:11" ht="16.5" x14ac:dyDescent="0.25">
      <c r="B10" s="121" t="s">
        <v>343</v>
      </c>
      <c r="C10" s="63"/>
      <c r="D10" s="64"/>
      <c r="E10" s="64"/>
      <c r="F10" s="64"/>
      <c r="G10" s="64"/>
      <c r="H10" s="64"/>
      <c r="I10" s="64"/>
      <c r="J10" s="64"/>
      <c r="K10" s="192"/>
    </row>
    <row r="11" spans="2:11" s="5" customFormat="1" x14ac:dyDescent="0.2">
      <c r="B11" s="122" t="s">
        <v>417</v>
      </c>
      <c r="C11" s="96">
        <v>0</v>
      </c>
      <c r="D11" s="97">
        <v>0</v>
      </c>
      <c r="E11" s="97">
        <v>0</v>
      </c>
      <c r="F11" s="97">
        <v>0</v>
      </c>
      <c r="G11" s="97">
        <v>0</v>
      </c>
      <c r="H11" s="97">
        <v>0</v>
      </c>
      <c r="I11" s="176"/>
      <c r="J11" s="176"/>
      <c r="K11" s="193">
        <v>0</v>
      </c>
    </row>
    <row r="12" spans="2:11" x14ac:dyDescent="0.2">
      <c r="B12" s="123" t="s">
        <v>93</v>
      </c>
      <c r="C12" s="94"/>
      <c r="D12" s="95"/>
      <c r="E12" s="95"/>
      <c r="F12" s="95"/>
      <c r="G12" s="95"/>
      <c r="H12" s="95"/>
      <c r="I12" s="175"/>
      <c r="J12" s="175"/>
      <c r="K12" s="194"/>
    </row>
    <row r="13" spans="2:11" x14ac:dyDescent="0.2">
      <c r="B13" s="123" t="s">
        <v>94</v>
      </c>
      <c r="C13" s="94"/>
      <c r="D13" s="95"/>
      <c r="E13" s="95"/>
      <c r="F13" s="95"/>
      <c r="G13" s="95"/>
      <c r="H13" s="95"/>
      <c r="I13" s="175"/>
      <c r="J13" s="175"/>
      <c r="K13" s="194"/>
    </row>
    <row r="14" spans="2:11" x14ac:dyDescent="0.2">
      <c r="B14" s="123" t="s">
        <v>95</v>
      </c>
      <c r="C14" s="94"/>
      <c r="D14" s="95"/>
      <c r="E14" s="95"/>
      <c r="F14" s="95"/>
      <c r="G14" s="95"/>
      <c r="H14" s="95"/>
      <c r="I14" s="175"/>
      <c r="J14" s="175"/>
      <c r="K14" s="194"/>
    </row>
    <row r="15" spans="2:11" ht="16.5" x14ac:dyDescent="0.25">
      <c r="B15" s="121" t="s">
        <v>344</v>
      </c>
      <c r="C15" s="63"/>
      <c r="D15" s="64"/>
      <c r="E15" s="64"/>
      <c r="F15" s="64"/>
      <c r="G15" s="64"/>
      <c r="H15" s="64"/>
      <c r="I15" s="64"/>
      <c r="J15" s="64"/>
      <c r="K15" s="192"/>
    </row>
    <row r="16" spans="2:11" s="5" customFormat="1" x14ac:dyDescent="0.2">
      <c r="B16" s="122" t="s">
        <v>206</v>
      </c>
      <c r="C16" s="98">
        <v>0</v>
      </c>
      <c r="D16" s="98">
        <v>0</v>
      </c>
      <c r="E16" s="98">
        <v>0</v>
      </c>
      <c r="F16" s="98">
        <v>0</v>
      </c>
      <c r="G16" s="98">
        <v>0</v>
      </c>
      <c r="H16" s="98">
        <v>0</v>
      </c>
      <c r="I16" s="176"/>
      <c r="J16" s="176"/>
      <c r="K16" s="98">
        <v>0</v>
      </c>
    </row>
    <row r="17" spans="2:12" s="5" customFormat="1" x14ac:dyDescent="0.2">
      <c r="B17" s="123" t="s">
        <v>203</v>
      </c>
      <c r="C17" s="94">
        <v>0</v>
      </c>
      <c r="D17" s="94">
        <v>0</v>
      </c>
      <c r="E17" s="94">
        <v>0</v>
      </c>
      <c r="F17" s="94">
        <v>0</v>
      </c>
      <c r="G17" s="94">
        <v>0</v>
      </c>
      <c r="H17" s="94">
        <v>0</v>
      </c>
      <c r="I17" s="175"/>
      <c r="J17" s="175"/>
      <c r="K17" s="94">
        <v>0</v>
      </c>
    </row>
    <row r="18" spans="2:12" ht="25.5" x14ac:dyDescent="0.2">
      <c r="B18" s="115" t="s">
        <v>207</v>
      </c>
      <c r="C18" s="184"/>
      <c r="D18" s="105"/>
      <c r="E18" s="105"/>
      <c r="F18" s="105"/>
      <c r="G18" s="105"/>
      <c r="H18" s="105"/>
      <c r="I18" s="178"/>
      <c r="J18" s="178"/>
      <c r="K18" s="195"/>
    </row>
    <row r="19" spans="2:12" ht="25.5" x14ac:dyDescent="0.2">
      <c r="B19" s="115" t="s">
        <v>208</v>
      </c>
      <c r="C19" s="177"/>
      <c r="D19" s="105"/>
      <c r="E19" s="105"/>
      <c r="F19" s="185"/>
      <c r="G19" s="105"/>
      <c r="H19" s="105"/>
      <c r="I19" s="178"/>
      <c r="J19" s="178"/>
      <c r="K19" s="196"/>
    </row>
    <row r="20" spans="2:12" ht="25.5" x14ac:dyDescent="0.2">
      <c r="B20" s="115" t="s">
        <v>209</v>
      </c>
      <c r="C20" s="184"/>
      <c r="D20" s="105"/>
      <c r="E20" s="105"/>
      <c r="F20" s="105"/>
      <c r="G20" s="105"/>
      <c r="H20" s="105"/>
      <c r="I20" s="178"/>
      <c r="J20" s="178"/>
      <c r="K20" s="195"/>
    </row>
    <row r="21" spans="2:12" ht="25.5" x14ac:dyDescent="0.2">
      <c r="B21" s="115" t="s">
        <v>210</v>
      </c>
      <c r="C21" s="177"/>
      <c r="D21" s="105"/>
      <c r="E21" s="105"/>
      <c r="F21" s="185"/>
      <c r="G21" s="105"/>
      <c r="H21" s="105"/>
      <c r="I21" s="178"/>
      <c r="J21" s="178"/>
      <c r="K21" s="196"/>
    </row>
    <row r="22" spans="2:12" s="5" customFormat="1" x14ac:dyDescent="0.2">
      <c r="B22" s="125" t="s">
        <v>211</v>
      </c>
      <c r="C22" s="120">
        <v>0</v>
      </c>
      <c r="D22" s="120">
        <v>0</v>
      </c>
      <c r="E22" s="120">
        <v>0</v>
      </c>
      <c r="F22" s="120">
        <v>0</v>
      </c>
      <c r="G22" s="120">
        <v>0</v>
      </c>
      <c r="H22" s="120">
        <v>0</v>
      </c>
      <c r="I22" s="179"/>
      <c r="J22" s="179"/>
      <c r="K22" s="120">
        <v>0</v>
      </c>
    </row>
    <row r="23" spans="2:12" s="5" customFormat="1" ht="100.15" customHeight="1" x14ac:dyDescent="0.2">
      <c r="B23" s="91" t="s">
        <v>212</v>
      </c>
      <c r="C23" s="479"/>
      <c r="D23" s="480"/>
      <c r="E23" s="480"/>
      <c r="F23" s="480"/>
      <c r="G23" s="480"/>
      <c r="H23" s="480"/>
      <c r="I23" s="480"/>
      <c r="J23" s="480"/>
      <c r="K23" s="481"/>
    </row>
    <row r="24" spans="2:12" s="5" customFormat="1" ht="100.15" customHeight="1" x14ac:dyDescent="0.2">
      <c r="B24" s="90" t="s">
        <v>213</v>
      </c>
      <c r="C24" s="482"/>
      <c r="D24" s="483"/>
      <c r="E24" s="483"/>
      <c r="F24" s="483"/>
      <c r="G24" s="483"/>
      <c r="H24" s="483"/>
      <c r="I24" s="483"/>
      <c r="J24" s="483"/>
      <c r="K24" s="4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F9">
    <cfRule type="cellIs" dxfId="7" priority="11" stopIfTrue="1" operator="lessThan">
      <formula>0</formula>
    </cfRule>
  </conditionalFormatting>
  <conditionalFormatting sqref="F7">
    <cfRule type="cellIs" dxfId="6" priority="10" stopIfTrue="1" operator="lessThan">
      <formula>0</formula>
    </cfRule>
  </conditionalFormatting>
  <conditionalFormatting sqref="K9">
    <cfRule type="cellIs" dxfId="5" priority="8" stopIfTrue="1" operator="lessThan">
      <formula>0</formula>
    </cfRule>
  </conditionalFormatting>
  <conditionalFormatting sqref="K12:K14">
    <cfRule type="cellIs" dxfId="4" priority="7" stopIfTrue="1" operator="lessThan">
      <formula>0</formula>
    </cfRule>
  </conditionalFormatting>
  <conditionalFormatting sqref="C16:H17">
    <cfRule type="cellIs" dxfId="3" priority="6" stopIfTrue="1" operator="lessThan">
      <formula>0</formula>
    </cfRule>
  </conditionalFormatting>
  <conditionalFormatting sqref="C22:H22">
    <cfRule type="cellIs" dxfId="2" priority="4" stopIfTrue="1" operator="lessThan">
      <formula>0</formula>
    </cfRule>
  </conditionalFormatting>
  <conditionalFormatting sqref="K16:K17">
    <cfRule type="cellIs" dxfId="1" priority="2" stopIfTrue="1" operator="lessThan">
      <formula>0</formula>
    </cfRule>
  </conditionalFormatting>
  <conditionalFormatting sqref="K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2" t="s">
        <v>502</v>
      </c>
      <c r="C5" s="112"/>
      <c r="D5" s="134" t="s">
        <v>505</v>
      </c>
      <c r="E5" s="7"/>
    </row>
    <row r="6" spans="1:5" ht="35.25" customHeight="1" x14ac:dyDescent="0.2">
      <c r="B6" s="132" t="s">
        <v>503</v>
      </c>
      <c r="C6" s="112"/>
      <c r="D6" s="135" t="s">
        <v>504</v>
      </c>
      <c r="E6" s="7"/>
    </row>
    <row r="7" spans="1:5" ht="35.25" customHeight="1" x14ac:dyDescent="0.2">
      <c r="B7" s="132"/>
      <c r="C7" s="112"/>
      <c r="D7" s="135"/>
      <c r="E7" s="7"/>
    </row>
    <row r="8" spans="1:5" ht="35.25" customHeight="1" x14ac:dyDescent="0.2">
      <c r="B8" s="132"/>
      <c r="C8" s="112"/>
      <c r="D8" s="135"/>
      <c r="E8" s="7"/>
    </row>
    <row r="9" spans="1:5" ht="35.25" customHeight="1" x14ac:dyDescent="0.2">
      <c r="B9" s="132"/>
      <c r="C9" s="112"/>
      <c r="D9" s="135"/>
      <c r="E9" s="7"/>
    </row>
    <row r="10" spans="1:5" ht="35.25" customHeight="1" x14ac:dyDescent="0.2">
      <c r="B10" s="132"/>
      <c r="C10" s="112"/>
      <c r="D10" s="135"/>
      <c r="E10" s="7"/>
    </row>
    <row r="11" spans="1:5" ht="35.25" customHeight="1" x14ac:dyDescent="0.2">
      <c r="B11" s="132"/>
      <c r="C11" s="112"/>
      <c r="D11" s="135"/>
      <c r="E11" s="7"/>
    </row>
    <row r="12" spans="1:5" ht="35.25" customHeight="1" x14ac:dyDescent="0.2">
      <c r="B12" s="133"/>
      <c r="C12" s="112"/>
      <c r="D12" s="135"/>
      <c r="E12" s="7"/>
    </row>
    <row r="13" spans="1:5" ht="35.25" customHeight="1" x14ac:dyDescent="0.2">
      <c r="B13" s="132"/>
      <c r="C13" s="112"/>
      <c r="D13" s="135"/>
      <c r="E13" s="7"/>
    </row>
    <row r="14" spans="1:5" ht="35.25" customHeight="1" x14ac:dyDescent="0.2">
      <c r="B14" s="132"/>
      <c r="C14" s="112"/>
      <c r="D14" s="135"/>
      <c r="E14" s="7"/>
    </row>
    <row r="15" spans="1:5" ht="35.25" customHeight="1" x14ac:dyDescent="0.2">
      <c r="B15" s="132"/>
      <c r="C15" s="112"/>
      <c r="D15" s="135"/>
      <c r="E15" s="7"/>
    </row>
    <row r="16" spans="1:5" ht="35.25" customHeight="1" x14ac:dyDescent="0.2">
      <c r="B16" s="132"/>
      <c r="C16" s="112"/>
      <c r="D16" s="135"/>
      <c r="E16" s="7"/>
    </row>
    <row r="17" spans="2:5" ht="35.25" customHeight="1" x14ac:dyDescent="0.2">
      <c r="B17" s="132"/>
      <c r="C17" s="112"/>
      <c r="D17" s="135"/>
      <c r="E17" s="7"/>
    </row>
    <row r="18" spans="2:5" ht="35.25" customHeight="1" x14ac:dyDescent="0.2">
      <c r="B18" s="132"/>
      <c r="C18" s="112"/>
      <c r="D18" s="135"/>
      <c r="E18" s="7"/>
    </row>
    <row r="19" spans="2:5" ht="35.25" customHeight="1" x14ac:dyDescent="0.2">
      <c r="B19" s="132"/>
      <c r="C19" s="112"/>
      <c r="D19" s="135"/>
      <c r="E19" s="7"/>
    </row>
    <row r="20" spans="2:5" ht="35.25" customHeight="1" x14ac:dyDescent="0.2">
      <c r="B20" s="132"/>
      <c r="C20" s="112"/>
      <c r="D20" s="135"/>
      <c r="E20" s="7"/>
    </row>
    <row r="21" spans="2:5" ht="35.25" customHeight="1" x14ac:dyDescent="0.2">
      <c r="B21" s="132"/>
      <c r="C21" s="112"/>
      <c r="D21" s="135"/>
      <c r="E21" s="7"/>
    </row>
    <row r="22" spans="2:5" ht="35.25" customHeight="1" x14ac:dyDescent="0.2">
      <c r="B22" s="132"/>
      <c r="C22" s="112"/>
      <c r="D22" s="135"/>
      <c r="E22" s="7"/>
    </row>
    <row r="23" spans="2:5" ht="35.25" customHeight="1" x14ac:dyDescent="0.2">
      <c r="B23" s="132"/>
      <c r="C23" s="112"/>
      <c r="D23" s="135"/>
      <c r="E23" s="7"/>
    </row>
    <row r="24" spans="2:5" ht="35.25" customHeight="1" x14ac:dyDescent="0.2">
      <c r="B24" s="132"/>
      <c r="C24" s="113"/>
      <c r="D24" s="135"/>
      <c r="E24" s="7"/>
    </row>
    <row r="25" spans="2:5" ht="16.5" x14ac:dyDescent="0.25">
      <c r="B25" s="166" t="s">
        <v>55</v>
      </c>
      <c r="C25" s="167"/>
      <c r="D25" s="168"/>
      <c r="E25" s="7"/>
    </row>
    <row r="26" spans="2:5" ht="15" x14ac:dyDescent="0.25">
      <c r="B26" s="169" t="s">
        <v>67</v>
      </c>
      <c r="C26" s="170"/>
      <c r="D26" s="171"/>
      <c r="E26" s="7"/>
    </row>
    <row r="27" spans="2:5" ht="35.25" customHeight="1" x14ac:dyDescent="0.2">
      <c r="B27" s="132" t="s">
        <v>506</v>
      </c>
      <c r="C27" s="112"/>
      <c r="D27" s="136" t="s">
        <v>527</v>
      </c>
      <c r="E27" s="7"/>
    </row>
    <row r="28" spans="2:5" ht="35.25" customHeight="1" x14ac:dyDescent="0.2">
      <c r="B28" s="132"/>
      <c r="C28" s="112"/>
      <c r="D28" s="135" t="s">
        <v>501</v>
      </c>
      <c r="E28" s="7"/>
    </row>
    <row r="29" spans="2:5" ht="35.25" customHeight="1" x14ac:dyDescent="0.2">
      <c r="B29" s="132"/>
      <c r="C29" s="112"/>
      <c r="D29" s="135"/>
      <c r="E29" s="7"/>
    </row>
    <row r="30" spans="2:5" ht="35.25" customHeight="1" x14ac:dyDescent="0.2">
      <c r="B30" s="132"/>
      <c r="C30" s="112"/>
      <c r="D30" s="135"/>
      <c r="E30" s="7"/>
    </row>
    <row r="31" spans="2:5" ht="35.25" customHeight="1" x14ac:dyDescent="0.2">
      <c r="B31" s="132"/>
      <c r="C31" s="112"/>
      <c r="D31" s="135"/>
      <c r="E31" s="7"/>
    </row>
    <row r="32" spans="2:5" ht="35.25" customHeight="1" x14ac:dyDescent="0.2">
      <c r="B32" s="132"/>
      <c r="C32" s="112"/>
      <c r="D32" s="135"/>
      <c r="E32" s="7"/>
    </row>
    <row r="33" spans="2:5" ht="15" x14ac:dyDescent="0.25">
      <c r="B33" s="172" t="s">
        <v>68</v>
      </c>
      <c r="C33" s="173"/>
      <c r="D33" s="174"/>
      <c r="E33" s="7"/>
    </row>
    <row r="34" spans="2:5" ht="35.25" customHeight="1" x14ac:dyDescent="0.2">
      <c r="B34" s="132" t="s">
        <v>507</v>
      </c>
      <c r="C34" s="112"/>
      <c r="D34" s="136" t="s">
        <v>526</v>
      </c>
      <c r="E34" s="7"/>
    </row>
    <row r="35" spans="2:5" ht="35.25" customHeight="1" x14ac:dyDescent="0.2">
      <c r="B35" s="132"/>
      <c r="C35" s="112"/>
      <c r="D35" s="135"/>
      <c r="E35" s="7"/>
    </row>
    <row r="36" spans="2:5" ht="35.25" customHeight="1" x14ac:dyDescent="0.2">
      <c r="B36" s="132"/>
      <c r="C36" s="112"/>
      <c r="D36" s="135"/>
      <c r="E36" s="7"/>
    </row>
    <row r="37" spans="2:5" ht="35.25" customHeight="1" x14ac:dyDescent="0.2">
      <c r="B37" s="132"/>
      <c r="C37" s="112"/>
      <c r="D37" s="135"/>
      <c r="E37" s="7"/>
    </row>
    <row r="38" spans="2:5" ht="35.25" customHeight="1" x14ac:dyDescent="0.2">
      <c r="B38" s="132"/>
      <c r="C38" s="112"/>
      <c r="D38" s="135"/>
      <c r="E38" s="7"/>
    </row>
    <row r="39" spans="2:5" ht="35.25" customHeight="1" x14ac:dyDescent="0.2">
      <c r="B39" s="132"/>
      <c r="C39" s="113"/>
      <c r="D39" s="135"/>
      <c r="E39" s="7"/>
    </row>
    <row r="40" spans="2:5" ht="15" x14ac:dyDescent="0.25">
      <c r="B40" s="172" t="s">
        <v>126</v>
      </c>
      <c r="C40" s="173"/>
      <c r="D40" s="174"/>
      <c r="E40" s="7"/>
    </row>
    <row r="41" spans="2:5" ht="35.25" customHeight="1" x14ac:dyDescent="0.2">
      <c r="B41" s="132" t="s">
        <v>509</v>
      </c>
      <c r="C41" s="112"/>
      <c r="D41" s="135" t="s">
        <v>508</v>
      </c>
      <c r="E41" s="7"/>
    </row>
    <row r="42" spans="2:5" ht="35.25" customHeight="1" x14ac:dyDescent="0.2">
      <c r="B42" s="132"/>
      <c r="C42" s="112"/>
      <c r="D42" s="135"/>
      <c r="E42" s="7"/>
    </row>
    <row r="43" spans="2:5" ht="35.25" customHeight="1" x14ac:dyDescent="0.2">
      <c r="B43" s="132"/>
      <c r="C43" s="112"/>
      <c r="D43" s="135"/>
      <c r="E43" s="7"/>
    </row>
    <row r="44" spans="2:5" ht="35.25" customHeight="1" x14ac:dyDescent="0.2">
      <c r="B44" s="132"/>
      <c r="C44" s="112"/>
      <c r="D44" s="135"/>
      <c r="E44" s="7"/>
    </row>
    <row r="45" spans="2:5" ht="35.25" customHeight="1" x14ac:dyDescent="0.2">
      <c r="B45" s="132"/>
      <c r="C45" s="112"/>
      <c r="D45" s="135"/>
      <c r="E45" s="7"/>
    </row>
    <row r="46" spans="2:5" ht="35.25" customHeight="1" x14ac:dyDescent="0.2">
      <c r="B46" s="132"/>
      <c r="C46" s="113"/>
      <c r="D46" s="135"/>
      <c r="E46" s="7"/>
    </row>
    <row r="47" spans="2:5" ht="15" x14ac:dyDescent="0.25">
      <c r="B47" s="172" t="s">
        <v>69</v>
      </c>
      <c r="C47" s="173"/>
      <c r="D47" s="174"/>
      <c r="E47" s="7"/>
    </row>
    <row r="48" spans="2:5" ht="35.25" customHeight="1" x14ac:dyDescent="0.2">
      <c r="B48" s="132" t="s">
        <v>525</v>
      </c>
      <c r="C48" s="112"/>
      <c r="D48" s="135" t="s">
        <v>515</v>
      </c>
      <c r="E48" s="7"/>
    </row>
    <row r="49" spans="2:5" ht="35.25" customHeight="1" x14ac:dyDescent="0.2">
      <c r="B49" s="132"/>
      <c r="C49" s="112"/>
      <c r="D49" s="135"/>
      <c r="E49" s="7"/>
    </row>
    <row r="50" spans="2:5" ht="35.25" customHeight="1" x14ac:dyDescent="0.2">
      <c r="B50" s="132"/>
      <c r="C50" s="112"/>
      <c r="D50" s="135"/>
      <c r="E50" s="7"/>
    </row>
    <row r="51" spans="2:5" ht="35.25" customHeight="1" x14ac:dyDescent="0.2">
      <c r="B51" s="132"/>
      <c r="C51" s="112"/>
      <c r="D51" s="135"/>
      <c r="E51" s="7"/>
    </row>
    <row r="52" spans="2:5" ht="35.25" customHeight="1" x14ac:dyDescent="0.2">
      <c r="B52" s="132"/>
      <c r="C52" s="112"/>
      <c r="D52" s="135"/>
      <c r="E52" s="7"/>
    </row>
    <row r="53" spans="2:5" ht="35.25" customHeight="1" x14ac:dyDescent="0.2">
      <c r="B53" s="132"/>
      <c r="C53" s="113"/>
      <c r="D53" s="135"/>
      <c r="E53" s="7"/>
    </row>
    <row r="54" spans="2:5" ht="16.5" x14ac:dyDescent="0.25">
      <c r="B54" s="166" t="s">
        <v>56</v>
      </c>
      <c r="C54" s="167"/>
      <c r="D54" s="168"/>
      <c r="E54" s="7"/>
    </row>
    <row r="55" spans="2:5" ht="15" x14ac:dyDescent="0.25">
      <c r="B55" s="169" t="s">
        <v>127</v>
      </c>
      <c r="C55" s="170"/>
      <c r="D55" s="171"/>
      <c r="E55" s="7"/>
    </row>
    <row r="56" spans="2:5" ht="35.25" customHeight="1" x14ac:dyDescent="0.2">
      <c r="B56" s="132" t="s">
        <v>524</v>
      </c>
      <c r="C56" s="114"/>
      <c r="D56" s="135" t="s">
        <v>515</v>
      </c>
      <c r="E56" s="7"/>
    </row>
    <row r="57" spans="2:5" ht="35.25" customHeight="1" x14ac:dyDescent="0.2">
      <c r="B57" s="132"/>
      <c r="C57" s="114"/>
      <c r="D57" s="135"/>
      <c r="E57" s="7"/>
    </row>
    <row r="58" spans="2:5" ht="35.25" customHeight="1" x14ac:dyDescent="0.2">
      <c r="B58" s="132"/>
      <c r="C58" s="114"/>
      <c r="D58" s="135"/>
      <c r="E58" s="7"/>
    </row>
    <row r="59" spans="2:5" ht="35.25" customHeight="1" x14ac:dyDescent="0.2">
      <c r="B59" s="132"/>
      <c r="C59" s="114"/>
      <c r="D59" s="135"/>
      <c r="E59" s="7"/>
    </row>
    <row r="60" spans="2:5" ht="35.25" customHeight="1" x14ac:dyDescent="0.2">
      <c r="B60" s="132"/>
      <c r="C60" s="114"/>
      <c r="D60" s="135"/>
      <c r="E60" s="7"/>
    </row>
    <row r="61" spans="2:5" ht="35.25" customHeight="1" x14ac:dyDescent="0.2">
      <c r="B61" s="132"/>
      <c r="C61" s="114"/>
      <c r="D61" s="135"/>
      <c r="E61" s="7"/>
    </row>
    <row r="62" spans="2:5" ht="35.25" customHeight="1" x14ac:dyDescent="0.2">
      <c r="B62" s="132"/>
      <c r="C62" s="114"/>
      <c r="D62" s="135"/>
      <c r="E62" s="7"/>
    </row>
    <row r="63" spans="2:5" ht="35.25" customHeight="1" x14ac:dyDescent="0.2">
      <c r="B63" s="132"/>
      <c r="C63" s="114"/>
      <c r="D63" s="135"/>
      <c r="E63" s="7"/>
    </row>
    <row r="64" spans="2:5" ht="35.25" customHeight="1" x14ac:dyDescent="0.2">
      <c r="B64" s="132"/>
      <c r="C64" s="114"/>
      <c r="D64" s="135"/>
      <c r="E64" s="7"/>
    </row>
    <row r="65" spans="2:5" ht="35.25" customHeight="1" x14ac:dyDescent="0.2">
      <c r="B65" s="132"/>
      <c r="C65" s="114"/>
      <c r="D65" s="135"/>
      <c r="E65" s="7"/>
    </row>
    <row r="66" spans="2:5" ht="15" x14ac:dyDescent="0.25">
      <c r="B66" s="172" t="s">
        <v>113</v>
      </c>
      <c r="C66" s="173"/>
      <c r="D66" s="174"/>
      <c r="E66" s="7"/>
    </row>
    <row r="67" spans="2:5" ht="35.25" customHeight="1" x14ac:dyDescent="0.2">
      <c r="B67" s="132" t="s">
        <v>512</v>
      </c>
      <c r="C67" s="114"/>
      <c r="D67" s="135" t="s">
        <v>510</v>
      </c>
      <c r="E67" s="7"/>
    </row>
    <row r="68" spans="2:5" ht="35.25" customHeight="1" x14ac:dyDescent="0.2">
      <c r="B68" s="132"/>
      <c r="C68" s="114"/>
      <c r="D68" s="135"/>
      <c r="E68" s="7"/>
    </row>
    <row r="69" spans="2:5" ht="35.25" customHeight="1" x14ac:dyDescent="0.2">
      <c r="B69" s="132"/>
      <c r="C69" s="114"/>
      <c r="D69" s="135"/>
      <c r="E69" s="7"/>
    </row>
    <row r="70" spans="2:5" ht="35.25" customHeight="1" x14ac:dyDescent="0.2">
      <c r="B70" s="132"/>
      <c r="C70" s="114"/>
      <c r="D70" s="135"/>
      <c r="E70" s="7"/>
    </row>
    <row r="71" spans="2:5" ht="35.25" customHeight="1" x14ac:dyDescent="0.2">
      <c r="B71" s="132"/>
      <c r="C71" s="114"/>
      <c r="D71" s="135"/>
      <c r="E71" s="7"/>
    </row>
    <row r="72" spans="2:5" ht="35.25" customHeight="1" x14ac:dyDescent="0.2">
      <c r="B72" s="132"/>
      <c r="C72" s="114"/>
      <c r="D72" s="135"/>
      <c r="E72" s="7"/>
    </row>
    <row r="73" spans="2:5" ht="35.25" customHeight="1" x14ac:dyDescent="0.2">
      <c r="B73" s="132"/>
      <c r="C73" s="114"/>
      <c r="D73" s="135"/>
      <c r="E73" s="7"/>
    </row>
    <row r="74" spans="2:5" ht="35.25" customHeight="1" x14ac:dyDescent="0.2">
      <c r="B74" s="132"/>
      <c r="C74" s="114"/>
      <c r="D74" s="135"/>
      <c r="E74" s="7"/>
    </row>
    <row r="75" spans="2:5" ht="35.25" customHeight="1" x14ac:dyDescent="0.2">
      <c r="B75" s="132"/>
      <c r="C75" s="114"/>
      <c r="D75" s="135"/>
      <c r="E75" s="7"/>
    </row>
    <row r="76" spans="2:5" ht="35.25" customHeight="1" x14ac:dyDescent="0.2">
      <c r="B76" s="132"/>
      <c r="C76" s="114"/>
      <c r="D76" s="135"/>
      <c r="E76" s="7"/>
    </row>
    <row r="77" spans="2:5" ht="15" x14ac:dyDescent="0.25">
      <c r="B77" s="172" t="s">
        <v>70</v>
      </c>
      <c r="C77" s="173"/>
      <c r="D77" s="174"/>
      <c r="E77" s="7"/>
    </row>
    <row r="78" spans="2:5" ht="35.25" customHeight="1" x14ac:dyDescent="0.2">
      <c r="B78" s="132" t="s">
        <v>511</v>
      </c>
      <c r="C78" s="114"/>
      <c r="D78" s="135" t="s">
        <v>510</v>
      </c>
      <c r="E78" s="7"/>
    </row>
    <row r="79" spans="2:5" ht="35.25" customHeight="1" x14ac:dyDescent="0.2">
      <c r="B79" s="132"/>
      <c r="C79" s="114"/>
      <c r="D79" s="135"/>
      <c r="E79" s="7"/>
    </row>
    <row r="80" spans="2:5" ht="35.25" customHeight="1" x14ac:dyDescent="0.2">
      <c r="B80" s="132"/>
      <c r="C80" s="114"/>
      <c r="D80" s="135"/>
      <c r="E80" s="7"/>
    </row>
    <row r="81" spans="2:5" ht="35.25" customHeight="1" x14ac:dyDescent="0.2">
      <c r="B81" s="132"/>
      <c r="C81" s="114"/>
      <c r="D81" s="135"/>
      <c r="E81" s="7"/>
    </row>
    <row r="82" spans="2:5" ht="35.25" customHeight="1" x14ac:dyDescent="0.2">
      <c r="B82" s="132"/>
      <c r="C82" s="114"/>
      <c r="D82" s="135"/>
      <c r="E82" s="7"/>
    </row>
    <row r="83" spans="2:5" ht="35.25" customHeight="1" x14ac:dyDescent="0.2">
      <c r="B83" s="132"/>
      <c r="C83" s="114"/>
      <c r="D83" s="135"/>
      <c r="E83" s="7"/>
    </row>
    <row r="84" spans="2:5" ht="35.25" customHeight="1" x14ac:dyDescent="0.2">
      <c r="B84" s="132"/>
      <c r="C84" s="114"/>
      <c r="D84" s="135"/>
      <c r="E84" s="7"/>
    </row>
    <row r="85" spans="2:5" ht="35.25" customHeight="1" x14ac:dyDescent="0.2">
      <c r="B85" s="132"/>
      <c r="C85" s="114"/>
      <c r="D85" s="135"/>
      <c r="E85" s="7"/>
    </row>
    <row r="86" spans="2:5" ht="35.25" customHeight="1" x14ac:dyDescent="0.2">
      <c r="B86" s="132"/>
      <c r="C86" s="114"/>
      <c r="D86" s="135"/>
      <c r="E86" s="7"/>
    </row>
    <row r="87" spans="2:5" ht="35.25" customHeight="1" x14ac:dyDescent="0.2">
      <c r="B87" s="132"/>
      <c r="C87" s="114"/>
      <c r="D87" s="135"/>
      <c r="E87" s="7"/>
    </row>
    <row r="88" spans="2:5" ht="15" x14ac:dyDescent="0.25">
      <c r="B88" s="172" t="s">
        <v>71</v>
      </c>
      <c r="C88" s="173"/>
      <c r="D88" s="174"/>
      <c r="E88" s="7"/>
    </row>
    <row r="89" spans="2:5" ht="35.25" customHeight="1" x14ac:dyDescent="0.2">
      <c r="B89" s="132" t="s">
        <v>523</v>
      </c>
      <c r="C89" s="114"/>
      <c r="D89" s="135" t="s">
        <v>515</v>
      </c>
      <c r="E89" s="7"/>
    </row>
    <row r="90" spans="2:5" ht="35.25" customHeight="1" x14ac:dyDescent="0.2">
      <c r="B90" s="132"/>
      <c r="C90" s="114"/>
      <c r="D90" s="135"/>
      <c r="E90" s="7"/>
    </row>
    <row r="91" spans="2:5" ht="35.25" customHeight="1" x14ac:dyDescent="0.2">
      <c r="B91" s="132"/>
      <c r="C91" s="114"/>
      <c r="D91" s="135"/>
      <c r="E91" s="7"/>
    </row>
    <row r="92" spans="2:5" ht="35.25" customHeight="1" x14ac:dyDescent="0.2">
      <c r="B92" s="132"/>
      <c r="C92" s="114"/>
      <c r="D92" s="135"/>
      <c r="E92" s="7"/>
    </row>
    <row r="93" spans="2:5" ht="35.25" customHeight="1" x14ac:dyDescent="0.2">
      <c r="B93" s="132"/>
      <c r="C93" s="114"/>
      <c r="D93" s="135"/>
      <c r="E93" s="7"/>
    </row>
    <row r="94" spans="2:5" ht="35.25" customHeight="1" x14ac:dyDescent="0.2">
      <c r="B94" s="132"/>
      <c r="C94" s="114"/>
      <c r="D94" s="135"/>
      <c r="E94" s="7"/>
    </row>
    <row r="95" spans="2:5" ht="35.25" customHeight="1" x14ac:dyDescent="0.2">
      <c r="B95" s="132"/>
      <c r="C95" s="114"/>
      <c r="D95" s="135"/>
      <c r="E95" s="7"/>
    </row>
    <row r="96" spans="2:5" ht="35.25" customHeight="1" x14ac:dyDescent="0.2">
      <c r="B96" s="132"/>
      <c r="C96" s="114"/>
      <c r="D96" s="135"/>
      <c r="E96" s="7"/>
    </row>
    <row r="97" spans="2:5" ht="35.25" customHeight="1" x14ac:dyDescent="0.2">
      <c r="B97" s="132"/>
      <c r="C97" s="114"/>
      <c r="D97" s="135"/>
      <c r="E97" s="7"/>
    </row>
    <row r="98" spans="2:5" ht="35.25" customHeight="1" x14ac:dyDescent="0.2">
      <c r="B98" s="132"/>
      <c r="C98" s="114"/>
      <c r="D98" s="135"/>
      <c r="E98" s="7"/>
    </row>
    <row r="99" spans="2:5" ht="15" x14ac:dyDescent="0.25">
      <c r="B99" s="172" t="s">
        <v>199</v>
      </c>
      <c r="C99" s="173"/>
      <c r="D99" s="174"/>
      <c r="E99" s="7"/>
    </row>
    <row r="100" spans="2:5" ht="35.25" customHeight="1" x14ac:dyDescent="0.2">
      <c r="B100" s="132" t="s">
        <v>522</v>
      </c>
      <c r="C100" s="114"/>
      <c r="D100" s="135" t="s">
        <v>510</v>
      </c>
      <c r="E100" s="7"/>
    </row>
    <row r="101" spans="2:5" ht="35.25" customHeight="1" x14ac:dyDescent="0.2">
      <c r="B101" s="132"/>
      <c r="C101" s="114"/>
      <c r="D101" s="135"/>
      <c r="E101" s="7"/>
    </row>
    <row r="102" spans="2:5" ht="35.25" customHeight="1" x14ac:dyDescent="0.2">
      <c r="B102" s="132"/>
      <c r="C102" s="114"/>
      <c r="D102" s="135"/>
      <c r="E102" s="7"/>
    </row>
    <row r="103" spans="2:5" ht="35.25" customHeight="1" x14ac:dyDescent="0.2">
      <c r="B103" s="132"/>
      <c r="C103" s="114"/>
      <c r="D103" s="135"/>
      <c r="E103" s="7"/>
    </row>
    <row r="104" spans="2:5" ht="35.25" customHeight="1" x14ac:dyDescent="0.2">
      <c r="B104" s="132"/>
      <c r="C104" s="114"/>
      <c r="D104" s="135"/>
      <c r="E104" s="7"/>
    </row>
    <row r="105" spans="2:5" ht="35.25" customHeight="1" x14ac:dyDescent="0.2">
      <c r="B105" s="132"/>
      <c r="C105" s="114"/>
      <c r="D105" s="135"/>
      <c r="E105" s="7"/>
    </row>
    <row r="106" spans="2:5" ht="35.25" customHeight="1" x14ac:dyDescent="0.2">
      <c r="B106" s="132"/>
      <c r="C106" s="114"/>
      <c r="D106" s="135"/>
      <c r="E106" s="7"/>
    </row>
    <row r="107" spans="2:5" ht="35.25" customHeight="1" x14ac:dyDescent="0.2">
      <c r="B107" s="132"/>
      <c r="C107" s="114"/>
      <c r="D107" s="135"/>
      <c r="E107" s="7"/>
    </row>
    <row r="108" spans="2:5" ht="35.25" customHeight="1" x14ac:dyDescent="0.2">
      <c r="B108" s="132"/>
      <c r="C108" s="114"/>
      <c r="D108" s="135"/>
      <c r="E108" s="7"/>
    </row>
    <row r="109" spans="2:5" ht="35.25" customHeight="1" x14ac:dyDescent="0.2">
      <c r="B109" s="132"/>
      <c r="C109" s="114"/>
      <c r="D109" s="135"/>
      <c r="E109" s="7"/>
    </row>
    <row r="110" spans="2:5" s="5" customFormat="1" ht="15" x14ac:dyDescent="0.25">
      <c r="B110" s="172" t="s">
        <v>100</v>
      </c>
      <c r="C110" s="173"/>
      <c r="D110" s="174"/>
      <c r="E110" s="27"/>
    </row>
    <row r="111" spans="2:5" s="5" customFormat="1" ht="35.25" customHeight="1" x14ac:dyDescent="0.2">
      <c r="B111" s="132" t="s">
        <v>513</v>
      </c>
      <c r="C111" s="114"/>
      <c r="D111" s="135" t="s">
        <v>510</v>
      </c>
      <c r="E111" s="27"/>
    </row>
    <row r="112" spans="2:5" s="5" customFormat="1" ht="35.25" customHeight="1" x14ac:dyDescent="0.2">
      <c r="B112" s="132"/>
      <c r="C112" s="114"/>
      <c r="D112" s="135"/>
      <c r="E112" s="27"/>
    </row>
    <row r="113" spans="2:5" s="5" customFormat="1" ht="35.25" customHeight="1" x14ac:dyDescent="0.2">
      <c r="B113" s="132"/>
      <c r="C113" s="114"/>
      <c r="D113" s="135"/>
      <c r="E113" s="27"/>
    </row>
    <row r="114" spans="2:5" s="5" customFormat="1" ht="35.25" customHeight="1" x14ac:dyDescent="0.2">
      <c r="B114" s="132"/>
      <c r="C114" s="114"/>
      <c r="D114" s="135"/>
      <c r="E114" s="27"/>
    </row>
    <row r="115" spans="2:5" s="5" customFormat="1" ht="35.25" customHeight="1" x14ac:dyDescent="0.2">
      <c r="B115" s="132"/>
      <c r="C115" s="114"/>
      <c r="D115" s="135"/>
      <c r="E115" s="27"/>
    </row>
    <row r="116" spans="2:5" s="5" customFormat="1" ht="35.25" customHeight="1" x14ac:dyDescent="0.2">
      <c r="B116" s="132"/>
      <c r="C116" s="114"/>
      <c r="D116" s="135"/>
      <c r="E116" s="27"/>
    </row>
    <row r="117" spans="2:5" s="5" customFormat="1" ht="35.25" customHeight="1" x14ac:dyDescent="0.2">
      <c r="B117" s="132"/>
      <c r="C117" s="114"/>
      <c r="D117" s="135"/>
      <c r="E117" s="27"/>
    </row>
    <row r="118" spans="2:5" s="5" customFormat="1" ht="35.25" customHeight="1" x14ac:dyDescent="0.2">
      <c r="B118" s="132"/>
      <c r="C118" s="114"/>
      <c r="D118" s="135"/>
      <c r="E118" s="27"/>
    </row>
    <row r="119" spans="2:5" s="5" customFormat="1" ht="35.25" customHeight="1" x14ac:dyDescent="0.2">
      <c r="B119" s="132"/>
      <c r="C119" s="114"/>
      <c r="D119" s="135"/>
      <c r="E119" s="27"/>
    </row>
    <row r="120" spans="2:5" s="5" customFormat="1" ht="35.25" customHeight="1" x14ac:dyDescent="0.2">
      <c r="B120" s="132"/>
      <c r="C120" s="114"/>
      <c r="D120" s="135"/>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2" t="s">
        <v>521</v>
      </c>
      <c r="C123" s="112"/>
      <c r="D123" s="135" t="s">
        <v>515</v>
      </c>
      <c r="E123" s="7"/>
    </row>
    <row r="124" spans="2:5" s="5" customFormat="1" ht="35.25" customHeight="1" x14ac:dyDescent="0.2">
      <c r="B124" s="132"/>
      <c r="C124" s="112"/>
      <c r="D124" s="135"/>
      <c r="E124" s="27"/>
    </row>
    <row r="125" spans="2:5" s="5" customFormat="1" ht="35.25" customHeight="1" x14ac:dyDescent="0.2">
      <c r="B125" s="132"/>
      <c r="C125" s="112"/>
      <c r="D125" s="135"/>
      <c r="E125" s="27"/>
    </row>
    <row r="126" spans="2:5" s="5" customFormat="1" ht="35.25" customHeight="1" x14ac:dyDescent="0.2">
      <c r="B126" s="132"/>
      <c r="C126" s="112"/>
      <c r="D126" s="135"/>
      <c r="E126" s="27"/>
    </row>
    <row r="127" spans="2:5" s="5" customFormat="1" ht="35.25" customHeight="1" x14ac:dyDescent="0.2">
      <c r="B127" s="132"/>
      <c r="C127" s="112"/>
      <c r="D127" s="135"/>
      <c r="E127" s="27"/>
    </row>
    <row r="128" spans="2:5" s="5" customFormat="1" ht="35.25" customHeight="1" x14ac:dyDescent="0.2">
      <c r="B128" s="132"/>
      <c r="C128" s="112"/>
      <c r="D128" s="135"/>
      <c r="E128" s="27"/>
    </row>
    <row r="129" spans="2:5" s="5" customFormat="1" ht="35.25" customHeight="1" x14ac:dyDescent="0.2">
      <c r="B129" s="132"/>
      <c r="C129" s="112"/>
      <c r="D129" s="135"/>
      <c r="E129" s="27"/>
    </row>
    <row r="130" spans="2:5" s="5" customFormat="1" ht="35.25" customHeight="1" x14ac:dyDescent="0.2">
      <c r="B130" s="132"/>
      <c r="C130" s="112"/>
      <c r="D130" s="135"/>
      <c r="E130" s="27"/>
    </row>
    <row r="131" spans="2:5" s="5" customFormat="1" ht="35.25" customHeight="1" x14ac:dyDescent="0.2">
      <c r="B131" s="132"/>
      <c r="C131" s="112"/>
      <c r="D131" s="135"/>
      <c r="E131" s="27"/>
    </row>
    <row r="132" spans="2:5" s="5" customFormat="1" ht="35.25" customHeight="1" x14ac:dyDescent="0.2">
      <c r="B132" s="132"/>
      <c r="C132" s="113"/>
      <c r="D132" s="135"/>
      <c r="E132" s="27"/>
    </row>
    <row r="133" spans="2:5" ht="15" x14ac:dyDescent="0.25">
      <c r="B133" s="172" t="s">
        <v>73</v>
      </c>
      <c r="C133" s="173"/>
      <c r="D133" s="174"/>
      <c r="E133" s="7"/>
    </row>
    <row r="134" spans="2:5" s="5" customFormat="1" ht="35.25" customHeight="1" x14ac:dyDescent="0.2">
      <c r="B134" s="132" t="s">
        <v>520</v>
      </c>
      <c r="C134" s="112"/>
      <c r="D134" s="135" t="s">
        <v>515</v>
      </c>
      <c r="E134" s="27"/>
    </row>
    <row r="135" spans="2:5" s="5" customFormat="1" ht="35.25" customHeight="1" x14ac:dyDescent="0.2">
      <c r="B135" s="132"/>
      <c r="C135" s="112"/>
      <c r="D135" s="135"/>
      <c r="E135" s="27"/>
    </row>
    <row r="136" spans="2:5" s="5" customFormat="1" ht="35.25" customHeight="1" x14ac:dyDescent="0.2">
      <c r="B136" s="132"/>
      <c r="C136" s="112"/>
      <c r="D136" s="135"/>
      <c r="E136" s="27"/>
    </row>
    <row r="137" spans="2:5" s="5" customFormat="1" ht="35.25" customHeight="1" x14ac:dyDescent="0.2">
      <c r="B137" s="132"/>
      <c r="C137" s="112"/>
      <c r="D137" s="135"/>
      <c r="E137" s="27"/>
    </row>
    <row r="138" spans="2:5" s="5" customFormat="1" ht="35.25" customHeight="1" x14ac:dyDescent="0.2">
      <c r="B138" s="132"/>
      <c r="C138" s="112"/>
      <c r="D138" s="135"/>
      <c r="E138" s="27"/>
    </row>
    <row r="139" spans="2:5" s="5" customFormat="1" ht="35.25" customHeight="1" x14ac:dyDescent="0.2">
      <c r="B139" s="132"/>
      <c r="C139" s="112"/>
      <c r="D139" s="135"/>
      <c r="E139" s="27"/>
    </row>
    <row r="140" spans="2:5" s="5" customFormat="1" ht="35.25" customHeight="1" x14ac:dyDescent="0.2">
      <c r="B140" s="132"/>
      <c r="C140" s="112"/>
      <c r="D140" s="135"/>
      <c r="E140" s="27"/>
    </row>
    <row r="141" spans="2:5" s="5" customFormat="1" ht="35.25" customHeight="1" x14ac:dyDescent="0.2">
      <c r="B141" s="132"/>
      <c r="C141" s="112"/>
      <c r="D141" s="135"/>
      <c r="E141" s="27"/>
    </row>
    <row r="142" spans="2:5" s="5" customFormat="1" ht="35.25" customHeight="1" x14ac:dyDescent="0.2">
      <c r="B142" s="132"/>
      <c r="C142" s="112"/>
      <c r="D142" s="135"/>
      <c r="E142" s="27"/>
    </row>
    <row r="143" spans="2:5" s="5" customFormat="1" ht="35.25" customHeight="1" x14ac:dyDescent="0.2">
      <c r="B143" s="132"/>
      <c r="C143" s="113"/>
      <c r="D143" s="135"/>
      <c r="E143" s="27"/>
    </row>
    <row r="144" spans="2:5" ht="15" x14ac:dyDescent="0.25">
      <c r="B144" s="172" t="s">
        <v>74</v>
      </c>
      <c r="C144" s="173"/>
      <c r="D144" s="174"/>
      <c r="E144" s="7"/>
    </row>
    <row r="145" spans="2:5" s="5" customFormat="1" ht="35.25" customHeight="1" x14ac:dyDescent="0.2">
      <c r="B145" s="132" t="s">
        <v>519</v>
      </c>
      <c r="C145" s="112"/>
      <c r="D145" s="135" t="s">
        <v>515</v>
      </c>
      <c r="E145" s="27"/>
    </row>
    <row r="146" spans="2:5" s="5" customFormat="1" ht="35.25" customHeight="1" x14ac:dyDescent="0.2">
      <c r="B146" s="132"/>
      <c r="C146" s="112"/>
      <c r="D146" s="135"/>
      <c r="E146" s="27"/>
    </row>
    <row r="147" spans="2:5" s="5" customFormat="1" ht="35.25" customHeight="1" x14ac:dyDescent="0.2">
      <c r="B147" s="132"/>
      <c r="C147" s="112"/>
      <c r="D147" s="135"/>
      <c r="E147" s="27"/>
    </row>
    <row r="148" spans="2:5" s="5" customFormat="1" ht="35.25" customHeight="1" x14ac:dyDescent="0.2">
      <c r="B148" s="132"/>
      <c r="C148" s="112"/>
      <c r="D148" s="135"/>
      <c r="E148" s="27"/>
    </row>
    <row r="149" spans="2:5" s="5" customFormat="1" ht="35.25" customHeight="1" x14ac:dyDescent="0.2">
      <c r="B149" s="132"/>
      <c r="C149" s="112"/>
      <c r="D149" s="135"/>
      <c r="E149" s="27"/>
    </row>
    <row r="150" spans="2:5" s="5" customFormat="1" ht="35.25" customHeight="1" x14ac:dyDescent="0.2">
      <c r="B150" s="132"/>
      <c r="C150" s="112"/>
      <c r="D150" s="135"/>
      <c r="E150" s="27"/>
    </row>
    <row r="151" spans="2:5" s="5" customFormat="1" ht="35.25" customHeight="1" x14ac:dyDescent="0.2">
      <c r="B151" s="132"/>
      <c r="C151" s="112"/>
      <c r="D151" s="135"/>
      <c r="E151" s="27"/>
    </row>
    <row r="152" spans="2:5" s="5" customFormat="1" ht="35.25" customHeight="1" x14ac:dyDescent="0.2">
      <c r="B152" s="132"/>
      <c r="C152" s="112"/>
      <c r="D152" s="135"/>
      <c r="E152" s="27"/>
    </row>
    <row r="153" spans="2:5" s="5" customFormat="1" ht="35.25" customHeight="1" x14ac:dyDescent="0.2">
      <c r="B153" s="132"/>
      <c r="C153" s="112"/>
      <c r="D153" s="135"/>
      <c r="E153" s="27"/>
    </row>
    <row r="154" spans="2:5" s="5" customFormat="1" ht="35.25" customHeight="1" x14ac:dyDescent="0.2">
      <c r="B154" s="132"/>
      <c r="C154" s="113"/>
      <c r="D154" s="135"/>
      <c r="E154" s="27"/>
    </row>
    <row r="155" spans="2:5" ht="15" x14ac:dyDescent="0.25">
      <c r="B155" s="172" t="s">
        <v>75</v>
      </c>
      <c r="C155" s="173"/>
      <c r="D155" s="174"/>
      <c r="E155" s="7"/>
    </row>
    <row r="156" spans="2:5" s="5" customFormat="1" ht="35.25" customHeight="1" x14ac:dyDescent="0.2">
      <c r="B156" s="132" t="s">
        <v>517</v>
      </c>
      <c r="C156" s="112"/>
      <c r="D156" s="135" t="s">
        <v>518</v>
      </c>
      <c r="E156" s="27"/>
    </row>
    <row r="157" spans="2:5" s="5" customFormat="1" ht="35.25" customHeight="1" x14ac:dyDescent="0.2">
      <c r="B157" s="132"/>
      <c r="C157" s="112"/>
      <c r="D157" s="135"/>
      <c r="E157" s="27"/>
    </row>
    <row r="158" spans="2:5" s="5" customFormat="1" ht="35.25" customHeight="1" x14ac:dyDescent="0.2">
      <c r="B158" s="132"/>
      <c r="C158" s="112"/>
      <c r="D158" s="135"/>
      <c r="E158" s="27"/>
    </row>
    <row r="159" spans="2:5" s="5" customFormat="1" ht="35.25" customHeight="1" x14ac:dyDescent="0.2">
      <c r="B159" s="132"/>
      <c r="C159" s="112"/>
      <c r="D159" s="135"/>
      <c r="E159" s="27"/>
    </row>
    <row r="160" spans="2:5" s="5" customFormat="1" ht="35.25" customHeight="1" x14ac:dyDescent="0.2">
      <c r="B160" s="132"/>
      <c r="C160" s="112"/>
      <c r="D160" s="135"/>
      <c r="E160" s="27"/>
    </row>
    <row r="161" spans="2:5" s="5" customFormat="1" ht="35.25" customHeight="1" x14ac:dyDescent="0.2">
      <c r="B161" s="132"/>
      <c r="C161" s="112"/>
      <c r="D161" s="135"/>
      <c r="E161" s="27"/>
    </row>
    <row r="162" spans="2:5" s="5" customFormat="1" ht="35.25" customHeight="1" x14ac:dyDescent="0.2">
      <c r="B162" s="132"/>
      <c r="C162" s="112"/>
      <c r="D162" s="135"/>
      <c r="E162" s="27"/>
    </row>
    <row r="163" spans="2:5" s="5" customFormat="1" ht="35.25" customHeight="1" x14ac:dyDescent="0.2">
      <c r="B163" s="132"/>
      <c r="C163" s="112"/>
      <c r="D163" s="135"/>
      <c r="E163" s="27"/>
    </row>
    <row r="164" spans="2:5" s="5" customFormat="1" ht="35.25" customHeight="1" x14ac:dyDescent="0.2">
      <c r="B164" s="132"/>
      <c r="C164" s="112"/>
      <c r="D164" s="135"/>
      <c r="E164" s="27"/>
    </row>
    <row r="165" spans="2:5" s="5" customFormat="1" ht="35.25" customHeight="1" x14ac:dyDescent="0.2">
      <c r="B165" s="132"/>
      <c r="C165" s="113"/>
      <c r="D165" s="135"/>
      <c r="E165" s="27"/>
    </row>
    <row r="166" spans="2:5" ht="15" x14ac:dyDescent="0.25">
      <c r="B166" s="172" t="s">
        <v>76</v>
      </c>
      <c r="C166" s="173"/>
      <c r="D166" s="174"/>
      <c r="E166" s="7"/>
    </row>
    <row r="167" spans="2:5" s="5" customFormat="1" ht="35.25" customHeight="1" x14ac:dyDescent="0.2">
      <c r="B167" s="132" t="s">
        <v>516</v>
      </c>
      <c r="C167" s="112"/>
      <c r="D167" s="135" t="s">
        <v>515</v>
      </c>
      <c r="E167" s="27"/>
    </row>
    <row r="168" spans="2:5" s="5" customFormat="1" ht="35.25" customHeight="1" x14ac:dyDescent="0.2">
      <c r="B168" s="132"/>
      <c r="C168" s="112"/>
      <c r="D168" s="135"/>
      <c r="E168" s="27"/>
    </row>
    <row r="169" spans="2:5" s="5" customFormat="1" ht="35.25" customHeight="1" x14ac:dyDescent="0.2">
      <c r="B169" s="132"/>
      <c r="C169" s="112"/>
      <c r="D169" s="135"/>
      <c r="E169" s="27"/>
    </row>
    <row r="170" spans="2:5" s="5" customFormat="1" ht="35.25" customHeight="1" x14ac:dyDescent="0.2">
      <c r="B170" s="132"/>
      <c r="C170" s="112"/>
      <c r="D170" s="135"/>
      <c r="E170" s="27"/>
    </row>
    <row r="171" spans="2:5" s="5" customFormat="1" ht="35.25" customHeight="1" x14ac:dyDescent="0.2">
      <c r="B171" s="132"/>
      <c r="C171" s="112"/>
      <c r="D171" s="135"/>
      <c r="E171" s="27"/>
    </row>
    <row r="172" spans="2:5" s="5" customFormat="1" ht="35.25" customHeight="1" x14ac:dyDescent="0.2">
      <c r="B172" s="132"/>
      <c r="C172" s="112"/>
      <c r="D172" s="135"/>
      <c r="E172" s="27"/>
    </row>
    <row r="173" spans="2:5" s="5" customFormat="1" ht="35.25" customHeight="1" x14ac:dyDescent="0.2">
      <c r="B173" s="132"/>
      <c r="C173" s="112"/>
      <c r="D173" s="135"/>
      <c r="E173" s="27"/>
    </row>
    <row r="174" spans="2:5" s="5" customFormat="1" ht="35.25" customHeight="1" x14ac:dyDescent="0.2">
      <c r="B174" s="132"/>
      <c r="C174" s="112"/>
      <c r="D174" s="135"/>
      <c r="E174" s="27"/>
    </row>
    <row r="175" spans="2:5" s="5" customFormat="1" ht="35.25" customHeight="1" x14ac:dyDescent="0.2">
      <c r="B175" s="132"/>
      <c r="C175" s="112"/>
      <c r="D175" s="135"/>
      <c r="E175" s="27"/>
    </row>
    <row r="176" spans="2:5" s="5" customFormat="1" ht="35.25" customHeight="1" x14ac:dyDescent="0.2">
      <c r="B176" s="132"/>
      <c r="C176" s="113"/>
      <c r="D176" s="135"/>
      <c r="E176" s="27"/>
    </row>
    <row r="177" spans="2:5" ht="15" x14ac:dyDescent="0.25">
      <c r="B177" s="172" t="s">
        <v>78</v>
      </c>
      <c r="C177" s="173"/>
      <c r="D177" s="174"/>
      <c r="E177" s="1"/>
    </row>
    <row r="178" spans="2:5" s="5" customFormat="1" ht="35.25" customHeight="1" x14ac:dyDescent="0.2">
      <c r="B178" s="132" t="s">
        <v>514</v>
      </c>
      <c r="C178" s="112"/>
      <c r="D178" s="135" t="s">
        <v>515</v>
      </c>
      <c r="E178" s="27"/>
    </row>
    <row r="179" spans="2:5" s="5" customFormat="1" ht="35.25" customHeight="1" x14ac:dyDescent="0.2">
      <c r="B179" s="132"/>
      <c r="C179" s="112"/>
      <c r="D179" s="135"/>
      <c r="E179" s="27"/>
    </row>
    <row r="180" spans="2:5" s="5" customFormat="1" ht="35.25" customHeight="1" x14ac:dyDescent="0.2">
      <c r="B180" s="132"/>
      <c r="C180" s="112"/>
      <c r="D180" s="135"/>
      <c r="E180" s="27"/>
    </row>
    <row r="181" spans="2:5" s="5" customFormat="1" ht="35.25" customHeight="1" x14ac:dyDescent="0.2">
      <c r="B181" s="132"/>
      <c r="C181" s="112"/>
      <c r="D181" s="135"/>
      <c r="E181" s="27"/>
    </row>
    <row r="182" spans="2:5" s="5" customFormat="1" ht="35.25" customHeight="1" x14ac:dyDescent="0.2">
      <c r="B182" s="132"/>
      <c r="C182" s="112"/>
      <c r="D182" s="135"/>
      <c r="E182" s="27"/>
    </row>
    <row r="183" spans="2:5" s="5" customFormat="1" ht="35.25" customHeight="1" x14ac:dyDescent="0.2">
      <c r="B183" s="132"/>
      <c r="C183" s="112"/>
      <c r="D183" s="135"/>
      <c r="E183" s="27"/>
    </row>
    <row r="184" spans="2:5" s="5" customFormat="1" ht="35.25" customHeight="1" x14ac:dyDescent="0.2">
      <c r="B184" s="132"/>
      <c r="C184" s="112"/>
      <c r="D184" s="135"/>
      <c r="E184" s="27"/>
    </row>
    <row r="185" spans="2:5" s="5" customFormat="1" ht="35.25" customHeight="1" x14ac:dyDescent="0.2">
      <c r="B185" s="132"/>
      <c r="C185" s="112"/>
      <c r="D185" s="135"/>
      <c r="E185" s="27"/>
    </row>
    <row r="186" spans="2:5" s="5" customFormat="1" ht="35.25" customHeight="1" x14ac:dyDescent="0.2">
      <c r="B186" s="132"/>
      <c r="C186" s="112"/>
      <c r="D186" s="135"/>
      <c r="E186" s="27"/>
    </row>
    <row r="187" spans="2:5" s="5" customFormat="1" ht="35.25" customHeight="1" x14ac:dyDescent="0.2">
      <c r="B187" s="132"/>
      <c r="C187" s="113"/>
      <c r="D187" s="135"/>
    </row>
    <row r="188" spans="2:5" ht="15" x14ac:dyDescent="0.25">
      <c r="B188" s="172" t="s">
        <v>79</v>
      </c>
      <c r="C188" s="173"/>
      <c r="D188" s="174"/>
      <c r="E188" s="1"/>
    </row>
    <row r="189" spans="2:5" s="5" customFormat="1" ht="35.25" customHeight="1" x14ac:dyDescent="0.2">
      <c r="B189" s="132" t="s">
        <v>509</v>
      </c>
      <c r="C189" s="112"/>
      <c r="D189" s="135" t="s">
        <v>510</v>
      </c>
      <c r="E189" s="27"/>
    </row>
    <row r="190" spans="2:5" s="5" customFormat="1" ht="35.25" customHeight="1" x14ac:dyDescent="0.2">
      <c r="B190" s="132"/>
      <c r="C190" s="112"/>
      <c r="D190" s="135"/>
      <c r="E190" s="27"/>
    </row>
    <row r="191" spans="2:5" s="5" customFormat="1" ht="35.25" customHeight="1" x14ac:dyDescent="0.2">
      <c r="B191" s="132"/>
      <c r="C191" s="112"/>
      <c r="D191" s="135"/>
      <c r="E191" s="27"/>
    </row>
    <row r="192" spans="2:5" s="5" customFormat="1" ht="35.25" customHeight="1" x14ac:dyDescent="0.2">
      <c r="B192" s="132"/>
      <c r="C192" s="112"/>
      <c r="D192" s="135"/>
      <c r="E192" s="27"/>
    </row>
    <row r="193" spans="2:5" s="5" customFormat="1" ht="35.25" customHeight="1" x14ac:dyDescent="0.2">
      <c r="B193" s="132"/>
      <c r="C193" s="112"/>
      <c r="D193" s="135"/>
      <c r="E193" s="27"/>
    </row>
    <row r="194" spans="2:5" s="5" customFormat="1" ht="35.25" customHeight="1" x14ac:dyDescent="0.2">
      <c r="B194" s="132"/>
      <c r="C194" s="112"/>
      <c r="D194" s="135"/>
      <c r="E194" s="27"/>
    </row>
    <row r="195" spans="2:5" s="5" customFormat="1" ht="35.25" customHeight="1" x14ac:dyDescent="0.2">
      <c r="B195" s="132"/>
      <c r="C195" s="112"/>
      <c r="D195" s="135"/>
      <c r="E195" s="27"/>
    </row>
    <row r="196" spans="2:5" s="5" customFormat="1" ht="35.25" customHeight="1" x14ac:dyDescent="0.2">
      <c r="B196" s="132"/>
      <c r="C196" s="112"/>
      <c r="D196" s="135"/>
      <c r="E196" s="27"/>
    </row>
    <row r="197" spans="2:5" s="5" customFormat="1" ht="35.25" customHeight="1" x14ac:dyDescent="0.2">
      <c r="B197" s="132"/>
      <c r="C197" s="112"/>
      <c r="D197" s="135"/>
      <c r="E197" s="27"/>
    </row>
    <row r="198" spans="2:5" s="5" customFormat="1" ht="35.25" customHeight="1" x14ac:dyDescent="0.2">
      <c r="B198" s="132"/>
      <c r="C198" s="113"/>
      <c r="D198" s="135"/>
    </row>
    <row r="199" spans="2:5" ht="15" x14ac:dyDescent="0.25">
      <c r="B199" s="172" t="s">
        <v>81</v>
      </c>
      <c r="C199" s="173"/>
      <c r="D199" s="174"/>
      <c r="E199" s="1"/>
    </row>
    <row r="200" spans="2:5" s="5" customFormat="1" ht="35.25" customHeight="1" x14ac:dyDescent="0.2">
      <c r="B200" s="132" t="s">
        <v>513</v>
      </c>
      <c r="C200" s="112"/>
      <c r="D200" s="135" t="s">
        <v>510</v>
      </c>
      <c r="E200" s="27"/>
    </row>
    <row r="201" spans="2:5" s="5" customFormat="1" ht="35.25" customHeight="1" x14ac:dyDescent="0.2">
      <c r="B201" s="132"/>
      <c r="C201" s="112"/>
      <c r="D201" s="135"/>
      <c r="E201" s="27"/>
    </row>
    <row r="202" spans="2:5" s="5" customFormat="1" ht="35.25" customHeight="1" x14ac:dyDescent="0.2">
      <c r="B202" s="132"/>
      <c r="C202" s="112"/>
      <c r="D202" s="135"/>
      <c r="E202" s="27"/>
    </row>
    <row r="203" spans="2:5" s="5" customFormat="1" ht="35.25" customHeight="1" x14ac:dyDescent="0.2">
      <c r="B203" s="132"/>
      <c r="C203" s="112"/>
      <c r="D203" s="135"/>
      <c r="E203" s="27"/>
    </row>
    <row r="204" spans="2:5" s="5" customFormat="1" ht="35.25" customHeight="1" x14ac:dyDescent="0.2">
      <c r="B204" s="132"/>
      <c r="C204" s="112"/>
      <c r="D204" s="135"/>
      <c r="E204" s="27"/>
    </row>
    <row r="205" spans="2:5" s="5" customFormat="1" ht="35.25" customHeight="1" x14ac:dyDescent="0.2">
      <c r="B205" s="132"/>
      <c r="C205" s="112"/>
      <c r="D205" s="135"/>
      <c r="E205" s="27"/>
    </row>
    <row r="206" spans="2:5" s="5" customFormat="1" ht="35.25" customHeight="1" x14ac:dyDescent="0.2">
      <c r="B206" s="132"/>
      <c r="C206" s="112"/>
      <c r="D206" s="135"/>
      <c r="E206" s="27"/>
    </row>
    <row r="207" spans="2:5" s="5" customFormat="1" ht="35.25" customHeight="1" x14ac:dyDescent="0.2">
      <c r="B207" s="132"/>
      <c r="C207" s="112"/>
      <c r="D207" s="135"/>
      <c r="E207" s="27"/>
    </row>
    <row r="208" spans="2:5" s="5" customFormat="1" ht="35.25" customHeight="1" x14ac:dyDescent="0.2">
      <c r="B208" s="132"/>
      <c r="C208" s="112"/>
      <c r="D208" s="135"/>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2016-08-01T12:57:19Z</cp:lastPrinted>
  <dcterms:created xsi:type="dcterms:W3CDTF">2012-03-15T16:14:51Z</dcterms:created>
  <dcterms:modified xsi:type="dcterms:W3CDTF">2016-09-01T13:39:41Z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{9B29CF03-93B9-4DC9-B406-CC2F68553565}</vt:lpwstr>
  </property>
</Properties>
</file>