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4\December\Year End\Regulatory reporting\MLR\MLR and RC templates specific to MHI\FINAL\FINAL 2015-7-31\"/>
    </mc:Choice>
  </mc:AlternateContent>
  <workbookProtection workbookPassword="D429" lockStructure="1"/>
  <bookViews>
    <workbookView xWindow="0" yWindow="0" windowWidth="28800" windowHeight="124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37" i="10" l="1"/>
  <c r="AB51" i="10" l="1"/>
  <c r="AB41" i="10"/>
  <c r="AB40" i="10"/>
  <c r="AB37" i="10"/>
  <c r="AA37" i="10"/>
  <c r="Z17" i="10"/>
  <c r="Y17" i="10"/>
  <c r="AA16" i="10"/>
  <c r="AB16" i="10"/>
  <c r="Z13" i="10"/>
  <c r="Y13" i="10"/>
  <c r="AB6" i="10"/>
  <c r="AA6" i="10"/>
  <c r="X40" i="10"/>
  <c r="X16" i="10"/>
  <c r="W16" i="10"/>
  <c r="X6" i="10"/>
  <c r="W6" i="10"/>
  <c r="Z45" i="10"/>
  <c r="Y45" i="10"/>
  <c r="T40" i="10"/>
  <c r="S16" i="10"/>
  <c r="T16" i="10"/>
  <c r="T6" i="10"/>
  <c r="S6" i="10"/>
  <c r="P51" i="10"/>
  <c r="N44" i="10"/>
  <c r="M44" i="10"/>
  <c r="P41" i="10"/>
  <c r="P40" i="10"/>
  <c r="P37" i="10"/>
  <c r="O37" i="10"/>
  <c r="N17" i="10"/>
  <c r="M17" i="10"/>
  <c r="P16" i="10"/>
  <c r="O16" i="10"/>
  <c r="N12" i="10"/>
  <c r="M12" i="10"/>
  <c r="P6" i="10"/>
  <c r="O6" i="10"/>
  <c r="K40" i="10"/>
  <c r="F40" i="10"/>
  <c r="N60" i="4"/>
  <c r="E6" i="10"/>
  <c r="F6" i="10" s="1"/>
  <c r="G6" i="10"/>
  <c r="F9" i="10"/>
  <c r="E10" i="10"/>
  <c r="F10" i="10" s="1"/>
  <c r="G10" i="10"/>
  <c r="J16" i="10"/>
  <c r="L16" i="10"/>
  <c r="J11" i="10"/>
  <c r="L10" i="10"/>
  <c r="K10" i="10"/>
  <c r="J10" i="10"/>
  <c r="L6" i="10"/>
  <c r="K6" i="10"/>
  <c r="J6" i="10"/>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G16" i="10"/>
  <c r="E16" i="10"/>
  <c r="F16" i="10" s="1"/>
  <c r="E11" i="10"/>
  <c r="K16" i="10" l="1"/>
  <c r="K11" i="10"/>
  <c r="F11" i="10"/>
  <c r="AO60" i="4" l="1"/>
  <c r="AP60" i="4"/>
  <c r="AQ60" i="4"/>
  <c r="AR60" i="4"/>
  <c r="AS60" i="4"/>
  <c r="AT60" i="4"/>
  <c r="AU60" i="4"/>
  <c r="AV60" i="4"/>
  <c r="AN60" i="4"/>
  <c r="AO22" i="4"/>
  <c r="AP22" i="4"/>
  <c r="AQ22" i="4"/>
  <c r="AR22" i="4"/>
  <c r="AS22" i="4"/>
  <c r="AT22" i="4"/>
  <c r="AU22" i="4"/>
  <c r="AO12" i="4"/>
  <c r="AP12" i="4"/>
  <c r="AQ12" i="4"/>
  <c r="AR12" i="4"/>
  <c r="AS12" i="4"/>
  <c r="AT12" i="4"/>
  <c r="AU12" i="4"/>
  <c r="AO5" i="4"/>
  <c r="AP5" i="4"/>
  <c r="AQ5" i="4"/>
  <c r="AR5" i="4"/>
  <c r="AS5" i="4"/>
  <c r="AT5" i="4"/>
  <c r="AU5" i="4"/>
  <c r="AN22" i="4"/>
  <c r="AN12" i="4"/>
  <c r="AN5" i="4"/>
  <c r="E60" i="4"/>
  <c r="F60" i="4"/>
  <c r="G60" i="4"/>
  <c r="H60" i="4"/>
  <c r="I60" i="4"/>
  <c r="J60" i="4"/>
  <c r="K60" i="4"/>
  <c r="L60" i="4"/>
  <c r="M60" i="4"/>
  <c r="O60" i="4"/>
  <c r="P60" i="4"/>
  <c r="Q60" i="4"/>
  <c r="R60" i="4"/>
  <c r="S60" i="4"/>
  <c r="T60" i="4"/>
  <c r="U60" i="4"/>
  <c r="V60" i="4"/>
  <c r="W60" i="4"/>
  <c r="X60" i="4"/>
  <c r="Y60" i="4"/>
  <c r="Z60" i="4"/>
  <c r="AA60" i="4"/>
  <c r="AB60" i="4"/>
  <c r="AC60" i="4"/>
  <c r="D60" i="4"/>
  <c r="E22" i="4"/>
  <c r="F22" i="4"/>
  <c r="G22" i="4"/>
  <c r="H22" i="4"/>
  <c r="I22" i="4"/>
  <c r="J22" i="4"/>
  <c r="K22" i="4"/>
  <c r="L22" i="4"/>
  <c r="M22" i="4"/>
  <c r="N22" i="4"/>
  <c r="O22" i="4"/>
  <c r="P22" i="4"/>
  <c r="Q22" i="4"/>
  <c r="R22" i="4"/>
  <c r="S22" i="4"/>
  <c r="T22" i="4"/>
  <c r="U22" i="4"/>
  <c r="V22" i="4"/>
  <c r="W22" i="4"/>
  <c r="X22" i="4"/>
  <c r="Y22" i="4"/>
  <c r="Z22" i="4"/>
  <c r="AA22" i="4"/>
  <c r="AB22" i="4"/>
  <c r="AC22" i="4"/>
  <c r="D22" i="4"/>
  <c r="D12" i="4"/>
  <c r="E12" i="4"/>
  <c r="F12" i="4"/>
  <c r="G12" i="4"/>
  <c r="H12" i="4"/>
  <c r="I12" i="4"/>
  <c r="J12" i="4"/>
  <c r="K12" i="4"/>
  <c r="L12" i="4"/>
  <c r="M12" i="4"/>
  <c r="N12" i="4"/>
  <c r="O12" i="4"/>
  <c r="P12" i="4"/>
  <c r="Q12" i="4"/>
  <c r="R12" i="4"/>
  <c r="S12" i="4"/>
  <c r="T12" i="4"/>
  <c r="U12" i="4"/>
  <c r="V12" i="4"/>
  <c r="W12" i="4"/>
  <c r="X12" i="4"/>
  <c r="Y12" i="4"/>
  <c r="Z12" i="4"/>
  <c r="AA12" i="4"/>
  <c r="AB12" i="4"/>
  <c r="AC12" i="4"/>
  <c r="E5" i="4"/>
  <c r="F5" i="4"/>
  <c r="G5" i="4"/>
  <c r="H5" i="4"/>
  <c r="I5" i="4"/>
  <c r="J5" i="4"/>
  <c r="K5" i="4"/>
  <c r="L5" i="4"/>
  <c r="M5" i="4"/>
  <c r="N5" i="4"/>
  <c r="O5" i="4"/>
  <c r="P5" i="4"/>
  <c r="Q5" i="4"/>
  <c r="R5" i="4"/>
  <c r="S5" i="4"/>
  <c r="T5" i="4"/>
  <c r="U5" i="4"/>
  <c r="V5" i="4"/>
  <c r="W5" i="4"/>
  <c r="X5" i="4"/>
  <c r="Y5" i="4"/>
  <c r="Z5" i="4"/>
  <c r="AA5" i="4"/>
  <c r="AB5" i="4"/>
  <c r="AC5" i="4"/>
  <c r="D5" i="4"/>
  <c r="AO54" i="18"/>
  <c r="AP54" i="18"/>
  <c r="AQ54" i="18"/>
  <c r="AR54" i="18"/>
  <c r="AS54" i="18"/>
  <c r="AT54" i="18"/>
  <c r="AU54" i="18"/>
  <c r="AO55" i="18"/>
  <c r="AP55" i="18"/>
  <c r="AQ55" i="18"/>
  <c r="AR55" i="18"/>
  <c r="AS55" i="18"/>
  <c r="AT55" i="18"/>
  <c r="AU55" i="18"/>
  <c r="AN55" i="18"/>
  <c r="AN54" i="18"/>
  <c r="L7" i="10" l="1"/>
  <c r="L15" i="10"/>
  <c r="J15" i="10"/>
  <c r="J7" i="10"/>
  <c r="S7" i="10"/>
  <c r="S15" i="10"/>
  <c r="AA15" i="10"/>
  <c r="AA7" i="10"/>
  <c r="W7" i="10"/>
  <c r="W15" i="10"/>
  <c r="O15" i="10"/>
  <c r="O7" i="10"/>
  <c r="G15" i="10"/>
  <c r="G7" i="10"/>
  <c r="E15" i="10"/>
  <c r="E7" i="10"/>
  <c r="G19" i="10" l="1"/>
  <c r="G20" i="10"/>
  <c r="G28" i="10"/>
  <c r="L28" i="10" s="1"/>
  <c r="G29" i="10"/>
  <c r="L29" i="10" s="1"/>
  <c r="G25" i="10"/>
  <c r="L25" i="10" s="1"/>
  <c r="G21" i="10"/>
  <c r="L21" i="10" s="1"/>
  <c r="P7" i="10"/>
  <c r="O12" i="10"/>
  <c r="P12" i="10" s="1"/>
  <c r="AB7" i="10"/>
  <c r="AB13" i="10" s="1"/>
  <c r="AA13" i="10"/>
  <c r="F15" i="10"/>
  <c r="K15" i="10"/>
  <c r="X15" i="10"/>
  <c r="T15" i="10"/>
  <c r="F7" i="10"/>
  <c r="E44" i="10" s="1"/>
  <c r="K7" i="10"/>
  <c r="H17" i="10" s="1"/>
  <c r="O17" i="10"/>
  <c r="O44" i="10" s="1"/>
  <c r="P38" i="10" s="1"/>
  <c r="P15" i="10"/>
  <c r="P17" i="10" s="1"/>
  <c r="AA17" i="10"/>
  <c r="AA45" i="10" s="1"/>
  <c r="AB38" i="10" s="1"/>
  <c r="AB15" i="10"/>
  <c r="AB17" i="10" s="1"/>
  <c r="X7" i="10"/>
  <c r="W17" i="10" s="1"/>
  <c r="W13" i="10"/>
  <c r="T7" i="10"/>
  <c r="Q13" i="10" s="1"/>
  <c r="S37" i="10"/>
  <c r="T37" i="10" s="1"/>
  <c r="U17" i="10" l="1"/>
  <c r="I12" i="10"/>
  <c r="I17" i="10"/>
  <c r="I44" i="10" s="1"/>
  <c r="T17" i="10"/>
  <c r="T52" i="10" s="1"/>
  <c r="L20" i="10"/>
  <c r="U13" i="10"/>
  <c r="S13" i="10"/>
  <c r="V13" i="10"/>
  <c r="G24" i="10"/>
  <c r="L19" i="10"/>
  <c r="P44" i="10"/>
  <c r="P52" i="10"/>
  <c r="J44" i="10"/>
  <c r="K37" i="10"/>
  <c r="X17" i="10"/>
  <c r="T41" i="10"/>
  <c r="T51" i="10"/>
  <c r="H44" i="10"/>
  <c r="F37" i="10"/>
  <c r="S17" i="10"/>
  <c r="S45" i="10" s="1"/>
  <c r="C12" i="10"/>
  <c r="R13" i="10"/>
  <c r="R17" i="10"/>
  <c r="R45" i="10" s="1"/>
  <c r="U45" i="10"/>
  <c r="D12" i="10"/>
  <c r="Q17" i="10"/>
  <c r="V17" i="10"/>
  <c r="V45" i="10" s="1"/>
  <c r="W37" i="10"/>
  <c r="AB45" i="10"/>
  <c r="AB52" i="10"/>
  <c r="H12" i="10"/>
  <c r="K12" i="10" s="1"/>
  <c r="C17" i="10"/>
  <c r="D17" i="10"/>
  <c r="D44" i="10" s="1"/>
  <c r="X13" i="10" l="1"/>
  <c r="T45" i="10"/>
  <c r="T46" i="10" s="1"/>
  <c r="G23" i="10"/>
  <c r="L24" i="10"/>
  <c r="W45" i="10"/>
  <c r="X37" i="10"/>
  <c r="T47" i="10"/>
  <c r="T50" i="10" s="1"/>
  <c r="K38" i="10"/>
  <c r="K41" i="10" s="1"/>
  <c r="P47" i="10"/>
  <c r="P50" i="10" s="1"/>
  <c r="P46" i="10"/>
  <c r="AB46" i="10"/>
  <c r="AB47" i="10"/>
  <c r="AB50" i="10" s="1"/>
  <c r="Q45" i="10"/>
  <c r="T38" i="10" s="1"/>
  <c r="T13" i="10"/>
  <c r="F51" i="10"/>
  <c r="K51" i="10"/>
  <c r="K44" i="10"/>
  <c r="F12" i="10"/>
  <c r="F44" i="10" s="1"/>
  <c r="C44" i="10"/>
  <c r="F38" i="10" s="1"/>
  <c r="F41" i="10" s="1"/>
  <c r="L23" i="10" l="1"/>
  <c r="G27" i="10"/>
  <c r="F46" i="10"/>
  <c r="F47" i="10" s="1"/>
  <c r="F50" i="10" s="1"/>
  <c r="F52" i="10" s="1"/>
  <c r="K46" i="10"/>
  <c r="K47" i="10" s="1"/>
  <c r="K50" i="10" s="1"/>
  <c r="K52" i="10" s="1"/>
  <c r="X41" i="10"/>
  <c r="X52" i="10"/>
  <c r="X51" i="10"/>
  <c r="X38" i="10"/>
  <c r="X45" i="10"/>
  <c r="L27" i="10" l="1"/>
  <c r="L31" i="10" s="1"/>
  <c r="G31" i="10"/>
  <c r="G32" i="10" s="1"/>
  <c r="G26" i="10"/>
  <c r="X47" i="10"/>
  <c r="X50" i="10" s="1"/>
  <c r="X46" i="10"/>
  <c r="G33" i="10" l="1"/>
  <c r="L32" i="10"/>
  <c r="G30" i="10"/>
  <c r="L30" i="10" s="1"/>
  <c r="L26" i="10"/>
  <c r="L33" i="10"/>
</calcChain>
</file>

<file path=xl/sharedStrings.xml><?xml version="1.0" encoding="utf-8"?>
<sst xmlns="http://schemas.openxmlformats.org/spreadsheetml/2006/main" count="583" uniqueCount="513">
  <si>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</si>
  <si>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</si>
  <si>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</si>
  <si>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</si>
  <si>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</si>
  <si>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</si>
  <si>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</si>
  <si>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</si>
  <si>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</si>
  <si>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</si>
  <si>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</si>
  <si>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</si>
  <si>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</si>
  <si>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</si>
  <si>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</si>
  <si>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</si>
  <si>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</si>
  <si>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</si>
  <si>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</si>
  <si>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</si>
  <si>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</si>
  <si>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</si>
  <si>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</si>
  <si>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</si>
  <si>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</si>
  <si>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</si>
  <si>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</si>
  <si>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</si>
  <si>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</si>
  <si>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</si>
  <si>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</si>
  <si>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</si>
  <si>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</si>
  <si>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</si>
  <si>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</si>
  <si>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</si>
  <si>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</si>
  <si>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</si>
  <si>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</si>
  <si>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</si>
  <si>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</si>
  <si>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</si>
  <si>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</si>
  <si>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</si>
  <si>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</si>
  <si>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</si>
  <si>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</si>
  <si>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</si>
  <si>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</si>
  <si>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</si>
  <si>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</si>
  <si>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</si>
  <si>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</si>
  <si>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</si>
  <si>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</si>
  <si>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</si>
  <si>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</si>
  <si>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</si>
  <si>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</si>
  <si>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</si>
  <si>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</si>
  <si>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</si>
  <si>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</si>
  <si>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</si>
  <si>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</si>
  <si>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</si>
  <si>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</si>
  <si>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</si>
  <si>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</si>
  <si>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</si>
  <si>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</si>
  <si>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</si>
  <si>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</si>
  <si>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</si>
  <si>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</si>
  <si>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</si>
  <si>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</si>
  <si>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</si>
  <si>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</si>
  <si>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</si>
  <si>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</si>
  <si>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</si>
  <si>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</si>
  <si>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</si>
  <si>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</si>
  <si>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</si>
  <si>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</si>
  <si>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</si>
  <si>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</si>
  <si>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</si>
  <si>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</si>
  <si>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</si>
  <si>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</si>
  <si>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</si>
  <si>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</si>
  <si>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</si>
  <si>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</si>
  <si>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</si>
  <si>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</si>
  <si>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</si>
  <si>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</si>
  <si>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</si>
  <si>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</si>
  <si>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</si>
  <si>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</si>
  <si>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</si>
  <si>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</si>
  <si>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</si>
  <si>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</si>
  <si>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</si>
  <si>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</si>
  <si>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</si>
  <si>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</si>
  <si>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</si>
  <si>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</si>
  <si>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</si>
  <si>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</si>
  <si>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</si>
  <si>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</si>
  <si>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</si>
  <si>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</si>
  <si>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</si>
  <si>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</si>
  <si>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</si>
  <si>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</si>
  <si>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</si>
  <si>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</si>
  <si>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</si>
  <si>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</si>
  <si>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</si>
  <si>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</si>
  <si>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</si>
  <si>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</si>
  <si>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</si>
  <si>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</si>
  <si>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</si>
  <si>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</si>
  <si>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</si>
  <si>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</si>
  <si>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</si>
  <si>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</si>
  <si>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</si>
  <si>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</si>
  <si>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</si>
  <si>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</si>
  <si>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</si>
  <si>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</si>
  <si>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</si>
  <si>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</si>
  <si>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</si>
  <si>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</si>
  <si>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</si>
  <si>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</si>
  <si>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</si>
  <si>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</si>
  <si>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</si>
  <si>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</si>
  <si>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</si>
  <si>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</si>
  <si>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</si>
  <si>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</si>
  <si>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</si>
  <si>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</si>
  <si>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</si>
  <si>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</si>
  <si>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</si>
  <si>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</si>
  <si>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</si>
  <si>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</si>
  <si>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</si>
  <si>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</si>
  <si>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</si>
  <si>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</si>
  <si>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</si>
  <si>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</si>
  <si>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</si>
  <si>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</si>
  <si>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</si>
  <si>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</si>
  <si>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</si>
  <si>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</si>
  <si>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</si>
  <si>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</si>
  <si>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</si>
  <si>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</si>
  <si>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</si>
  <si>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</si>
  <si>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</si>
  <si>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</si>
  <si>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</si>
  <si>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</si>
  <si>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</si>
  <si>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</si>
  <si>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</si>
  <si>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</si>
  <si>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</si>
  <si>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</si>
  <si>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</si>
  <si>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</si>
  <si>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</si>
  <si>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</si>
  <si>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</si>
  <si>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</si>
  <si>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</si>
  <si>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</si>
  <si>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</si>
  <si>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</si>
  <si>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</si>
  <si>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</si>
  <si>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</si>
  <si>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</si>
  <si>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</si>
  <si>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</si>
  <si>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</si>
  <si>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</si>
  <si>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</si>
  <si>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</si>
  <si>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</si>
  <si>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</si>
  <si>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</si>
  <si>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</si>
  <si>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</si>
  <si>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</si>
  <si>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</si>
  <si>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</si>
  <si>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</si>
  <si>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</si>
  <si>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</si>
  <si>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</si>
  <si>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</si>
  <si>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</si>
  <si>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</si>
  <si>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</si>
  <si>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</si>
  <si>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</si>
  <si>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</si>
  <si>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</si>
  <si>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</si>
  <si>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</si>
  <si>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</si>
  <si>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</si>
  <si>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</si>
  <si>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</si>
  <si>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</si>
  <si>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</si>
  <si>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</si>
  <si>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</si>
  <si>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</si>
  <si>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</si>
  <si>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</si>
  <si>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</si>
  <si>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</si>
  <si>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</si>
  <si>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</si>
  <si>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</si>
  <si>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</si>
  <si>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</si>
  <si>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</si>
  <si>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</si>
  <si>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</si>
  <si>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</si>
  <si>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</si>
  <si>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</si>
  <si>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</si>
  <si>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</si>
  <si>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</si>
  <si>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</si>
  <si>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</si>
  <si>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</si>
  <si>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</si>
  <si>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</si>
  <si>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</si>
  <si>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</si>
  <si>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</si>
  <si>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</si>
  <si>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</si>
  <si>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</si>
  <si>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</si>
  <si>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</si>
  <si>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</si>
  <si>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</si>
  <si>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</si>
  <si>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</si>
  <si>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</si>
  <si>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</si>
  <si>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</si>
  <si>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</si>
  <si>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</si>
  <si>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</si>
  <si>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</si>
  <si>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</si>
  <si>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</si>
  <si>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</si>
  <si>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</si>
  <si>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</si>
  <si>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</si>
  <si>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</si>
  <si>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</si>
  <si>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</si>
  <si>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</si>
  <si>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</si>
  <si>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</si>
  <si>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</si>
  <si>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</si>
  <si>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</si>
  <si>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</si>
  <si>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</si>
  <si>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</si>
  <si>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</si>
  <si>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</si>
  <si>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</si>
  <si>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</si>
  <si>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</si>
  <si>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</si>
  <si>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</si>
  <si>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</si>
  <si>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</si>
  <si>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</si>
  <si>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</si>
  <si>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</si>
  <si>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</si>
  <si>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</si>
  <si>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</si>
  <si>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</si>
  <si>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</si>
  <si>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</si>
  <si>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</si>
  <si>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</si>
  <si>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</si>
  <si>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</si>
  <si>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</si>
  <si>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</si>
  <si>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</si>
  <si>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</si>
  <si>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</si>
  <si>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</si>
  <si>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</si>
  <si>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</si>
  <si>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</si>
  <si>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</si>
  <si>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</si>
  <si>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</si>
  <si>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</si>
  <si>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</si>
  <si>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</si>
  <si>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</si>
  <si>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</si>
  <si>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</si>
  <si>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</si>
  <si>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</si>
  <si>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</si>
  <si>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</si>
  <si>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</si>
  <si>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</si>
  <si>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</si>
  <si>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</si>
  <si>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</si>
  <si>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</si>
  <si>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</si>
  <si>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</si>
  <si>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</si>
  <si>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</si>
  <si>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</si>
  <si>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</si>
  <si>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</si>
  <si>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</si>
  <si>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</si>
  <si>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</si>
  <si>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</si>
  <si>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</si>
  <si>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</si>
  <si>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</si>
  <si>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</si>
  <si>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</si>
  <si>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</si>
  <si>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</si>
  <si>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</si>
  <si>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</si>
  <si>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</si>
  <si>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</si>
  <si>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</si>
  <si>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</si>
  <si>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</si>
  <si>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</si>
  <si>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</si>
  <si>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</si>
  <si>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</si>
  <si>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</si>
  <si>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</si>
  <si>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</si>
  <si>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</si>
  <si>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</si>
  <si>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</si>
  <si>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</si>
  <si>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</si>
  <si>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</si>
  <si>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</si>
  <si>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</si>
  <si>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</si>
  <si>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</si>
  <si>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</si>
  <si>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</si>
  <si>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</si>
  <si>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</si>
  <si>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</si>
  <si>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</si>
  <si>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</si>
  <si>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</si>
  <si>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</si>
  <si>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</si>
  <si>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</si>
  <si>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</si>
  <si>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</si>
  <si>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</si>
  <si>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</si>
  <si>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</si>
  <si>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</si>
  <si>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</si>
  <si>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</si>
  <si>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</si>
  <si>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</si>
  <si>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</si>
  <si>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</si>
  <si>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</si>
  <si>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</si>
  <si>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</si>
  <si>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</si>
  <si>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</si>
  <si>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</si>
  <si>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</si>
  <si>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</si>
  <si>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</si>
  <si>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</si>
  <si>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</si>
  <si>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</si>
  <si>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</si>
  <si>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</si>
  <si>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</si>
  <si>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</si>
  <si>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</si>
  <si>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</si>
  <si>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</si>
  <si>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</si>
  <si>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</si>
  <si>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</si>
  <si>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</si>
  <si>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</si>
  <si>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</si>
  <si>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</si>
  <si>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</si>
  <si>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</si>
  <si>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</si>
  <si>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</si>
  <si>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</si>
  <si>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</si>
  <si>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</si>
  <si>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</si>
  <si>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</si>
  <si>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</si>
  <si>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</si>
  <si>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</si>
  <si>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</si>
  <si>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</si>
  <si>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</si>
  <si>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</si>
  <si>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</si>
  <si>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</si>
  <si>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</si>
  <si>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</si>
  <si>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</si>
  <si>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</si>
  <si>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</si>
  <si>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</si>
  <si>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</si>
  <si>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</si>
  <si>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</si>
  <si>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</si>
  <si>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</si>
  <si>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</si>
  <si>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</si>
  <si>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</si>
  <si>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</si>
  <si>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</si>
  <si>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</si>
  <si>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</si>
  <si>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</si>
  <si>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</si>
  <si>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</si>
  <si>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</si>
  <si>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</si>
  <si>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</si>
  <si>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</si>
  <si>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</si>
  <si>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</si>
  <si>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Minuteman Health, Inc</t>
  </si>
  <si>
    <t>2014</t>
  </si>
  <si>
    <t>179 Lincoln St. Boston, MA 02111</t>
  </si>
  <si>
    <t>453596033</t>
  </si>
  <si>
    <t>636</t>
  </si>
  <si>
    <t xml:space="preserve"> </t>
  </si>
  <si>
    <t>Line 2.1</t>
  </si>
  <si>
    <t>incurred claims are directly allocated</t>
  </si>
  <si>
    <t>line 3.1b</t>
  </si>
  <si>
    <t>allocation is based on member months</t>
  </si>
  <si>
    <t>line 3.3a</t>
  </si>
  <si>
    <t>allocaiton is based on member months</t>
  </si>
  <si>
    <t>line 4.1</t>
  </si>
  <si>
    <t>line 4.4</t>
  </si>
  <si>
    <t>line 5.2</t>
  </si>
  <si>
    <t>commissions are directly allocated</t>
  </si>
  <si>
    <t>line 5.4</t>
  </si>
  <si>
    <t>line 5.5a</t>
  </si>
  <si>
    <t>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</si>
</sst>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165" fontId="31" fillId="28" borderId="106" xfId="1" applyNumberFormat="1" applyFont="1" applyFill="1" applyBorder="1" applyAlignment="1" applyProtection="1">
      <alignment vertical="top"/>
      <protection locked="0"/>
    </xf>
    <xf numFmtId="165" fontId="31" fillId="28" borderId="19"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6" fontId="0" fillId="28" borderId="106" xfId="56" applyNumberFormat="1" applyFont="1" applyFill="1" applyBorder="1" applyAlignment="1" applyProtection="1">
      <alignment vertical="top"/>
      <protection locked="0"/>
    </xf>
    <xf numFmtId="165" fontId="0" fillId="28" borderId="106" xfId="56" applyNumberFormat="1" applyFont="1" applyFill="1" applyBorder="1" applyAlignment="1" applyProtection="1">
      <alignment vertical="top"/>
      <protection locked="0"/>
    </xf>
    <xf numFmtId="165" fontId="0" fillId="0" borderId="106" xfId="115" applyNumberFormat="1" applyFont="1" applyFill="1" applyBorder="1" applyAlignment="1" applyProtection="1">
      <alignment vertical="top"/>
      <protection locked="0"/>
    </xf>
    <xf numFmtId="165" fontId="0" fillId="28" borderId="106"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ce%20Goguen/Downloads/MLR_Template_Massachusett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ow r="12">
          <cell r="C12" t="str">
            <v>Massachusetts</v>
          </cell>
        </row>
      </sheetData>
      <sheetData sheetId="1">
        <row r="44">
          <cell r="I44">
            <v>0</v>
          </cell>
          <cell r="O44">
            <v>0</v>
          </cell>
        </row>
        <row r="45">
          <cell r="I45">
            <v>596073</v>
          </cell>
          <cell r="O45">
            <v>122389</v>
          </cell>
        </row>
        <row r="46">
          <cell r="I46">
            <v>0</v>
          </cell>
          <cell r="O46">
            <v>0</v>
          </cell>
        </row>
        <row r="47">
          <cell r="I47">
            <v>0</v>
          </cell>
          <cell r="O47">
            <v>14897</v>
          </cell>
        </row>
        <row r="49">
          <cell r="I49">
            <v>411</v>
          </cell>
          <cell r="O49">
            <v>89</v>
          </cell>
        </row>
        <row r="50">
          <cell r="I50">
            <v>0</v>
          </cell>
          <cell r="O50">
            <v>0</v>
          </cell>
        </row>
        <row r="51">
          <cell r="I51">
            <v>10364746.67677653</v>
          </cell>
          <cell r="O51">
            <v>2128142.3232234688</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498</v>
      </c>
      <c r="B4" s="230" t="s">
        <v>45</v>
      </c>
      <c r="C4" s="375" t="s">
        <v>494</v>
      </c>
    </row>
    <row r="5" spans="1:6" x14ac:dyDescent="0.2">
      <c r="B5" s="230" t="s">
        <v>215</v>
      </c>
      <c r="C5" s="375" t="s">
        <v>494</v>
      </c>
    </row>
    <row r="6" spans="1:6" x14ac:dyDescent="0.2">
      <c r="B6" s="230" t="s">
        <v>216</v>
      </c>
      <c r="C6" s="375" t="s">
        <v>497</v>
      </c>
    </row>
    <row r="7" spans="1:6" x14ac:dyDescent="0.2">
      <c r="B7" s="230" t="s">
        <v>128</v>
      </c>
      <c r="C7" s="375"/>
    </row>
    <row r="8" spans="1:6" x14ac:dyDescent="0.2">
      <c r="B8" s="230" t="s">
        <v>36</v>
      </c>
      <c r="C8" s="375"/>
    </row>
    <row r="9" spans="1:6" x14ac:dyDescent="0.2">
      <c r="B9" s="230" t="s">
        <v>41</v>
      </c>
      <c r="C9" s="375"/>
    </row>
    <row r="10" spans="1:6" x14ac:dyDescent="0.2">
      <c r="B10" s="230" t="s">
        <v>58</v>
      </c>
      <c r="C10" s="375" t="s">
        <v>494</v>
      </c>
    </row>
    <row r="11" spans="1:6" x14ac:dyDescent="0.2">
      <c r="B11" s="230" t="s">
        <v>355</v>
      </c>
      <c r="C11" s="375"/>
    </row>
    <row r="12" spans="1:6" x14ac:dyDescent="0.2">
      <c r="B12" s="230" t="s">
        <v>35</v>
      </c>
      <c r="C12" s="375" t="s">
        <v>149</v>
      </c>
    </row>
    <row r="13" spans="1:6" x14ac:dyDescent="0.2">
      <c r="B13" s="230" t="s">
        <v>50</v>
      </c>
      <c r="C13" s="375" t="s">
        <v>159</v>
      </c>
    </row>
    <row r="14" spans="1:6" x14ac:dyDescent="0.2">
      <c r="B14" s="230" t="s">
        <v>51</v>
      </c>
      <c r="C14" s="375" t="s">
        <v>496</v>
      </c>
    </row>
    <row r="15" spans="1:6" x14ac:dyDescent="0.2">
      <c r="B15" s="230" t="s">
        <v>217</v>
      </c>
      <c r="C15" s="375" t="s">
        <v>135</v>
      </c>
    </row>
    <row r="16" spans="1:6" x14ac:dyDescent="0.2">
      <c r="B16" s="231" t="s">
        <v>219</v>
      </c>
      <c r="C16" s="377" t="s">
        <v>135</v>
      </c>
    </row>
    <row r="17" spans="1:3" x14ac:dyDescent="0.2">
      <c r="B17" s="230" t="s">
        <v>218</v>
      </c>
      <c r="C17" s="375" t="s">
        <v>133</v>
      </c>
    </row>
    <row r="18" spans="1:3" x14ac:dyDescent="0.2">
      <c r="B18" s="232" t="s">
        <v>53</v>
      </c>
      <c r="C18" s="375"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6" zoomScale="80" zoomScaleNormal="80" workbookViewId="0">
      <selection activeCell="K48" sqref="K4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3" t="s">
        <v>354</v>
      </c>
      <c r="C3" s="164"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1:49" ht="16.5" x14ac:dyDescent="0.2">
      <c r="B4" s="151"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2" t="s">
        <v>222</v>
      </c>
      <c r="C5" s="61"/>
      <c r="D5" s="105">
        <f>SUM('Pt 2 Premium and Claims'!D$5,'Pt 2 Premium and Claims'!D$6,-'Pt 2 Premium and Claims'!D$7,-'Pt 2 Premium and Claims'!D$13,'Pt 2 Premium and Claims'!D$14:'Pt 2 Premium and Claims'!D$17)</f>
        <v>1894380.2680000002</v>
      </c>
      <c r="E5" s="105">
        <f>SUM('Pt 2 Premium and Claims'!E$5,'Pt 2 Premium and Claims'!E$6,-'Pt 2 Premium and Claims'!E$7,-'Pt 2 Premium and Claims'!E$13,'Pt 2 Premium and Claims'!E$14:'Pt 2 Premium and Claims'!E$17)</f>
        <v>2013768.9711668352</v>
      </c>
      <c r="F5" s="105">
        <f>SUM('Pt 2 Premium and Claims'!F$5,'Pt 2 Premium and Claims'!F$6,-'Pt 2 Premium and Claims'!F$7,-'Pt 2 Premium and Claims'!F$13,'Pt 2 Premium and Claims'!F$14:'Pt 2 Premium and Claims'!F$17)</f>
        <v>0</v>
      </c>
      <c r="G5" s="105">
        <f>SUM('Pt 2 Premium and Claims'!G$5,'Pt 2 Premium and Claims'!G$6,-'Pt 2 Premium and Claims'!G$7,-'Pt 2 Premium and Claims'!G$13,'Pt 2 Premium and Claims'!G$14:'Pt 2 Premium and Claims'!G$17)</f>
        <v>0</v>
      </c>
      <c r="H5" s="105">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Claims'!I$17)</f>
        <v>874971.3711668388</v>
      </c>
      <c r="J5" s="105">
        <f>SUM('Pt 2 Premium and Claims'!J$5,'Pt 2 Premium and Claims'!J$6,-'Pt 2 Premium and Claims'!J$7,-'Pt 2 Premium and Claims'!J$13,'Pt 2 Premium and Claims'!J$14:'Pt 2 Premium and Claims'!J$17)</f>
        <v>507106.73199999996</v>
      </c>
      <c r="K5" s="105">
        <f>SUM('Pt 2 Premium and Claims'!K$5,'Pt 2 Premium and Claims'!K$6,-'Pt 2 Premium and Claims'!K$7,-'Pt 2 Premium and Claims'!K$13,'Pt 2 Premium and Claims'!K$14:'Pt 2 Premium and Claims'!K$17)</f>
        <v>398693.20569514489</v>
      </c>
      <c r="L5" s="105">
        <f>SUM('Pt 2 Premium and Claims'!L$5,'Pt 2 Premium and Claims'!L$6,-'Pt 2 Premium and Claims'!L$7,-'Pt 2 Premium and Claims'!L$13,'Pt 2 Premium and Claims'!L$14:'Pt 2 Premium and Claims'!L$17)</f>
        <v>0</v>
      </c>
      <c r="M5" s="105">
        <f>SUM('Pt 2 Premium and Claims'!M$5,'Pt 2 Premium and Claims'!M$6,-'Pt 2 Premium and Claims'!M$7,-'Pt 2 Premium and Claims'!M$13,'Pt 2 Premium and Claims'!M$14:'Pt 2 Premium and Claims'!M$17)</f>
        <v>0</v>
      </c>
      <c r="N5" s="105">
        <f>SUM('Pt 2 Premium and Claims'!N$5,'Pt 2 Premium and Claims'!N$6,-'Pt 2 Premium and Claims'!N$7,-'Pt 2 Premium and Claims'!N$13,'Pt 2 Premium and Claims'!N$14:'Pt 2 Premium and Claims'!N$17)</f>
        <v>0</v>
      </c>
      <c r="O5" s="105">
        <f>SUM('Pt 2 Premium and Claims'!O$5,'Pt 2 Premium and Claims'!O$6,-'Pt 2 Premium and Claims'!O$7,-'Pt 2 Premium and Claims'!O$13,'Pt 2 Premium and Claims'!O$14:'Pt 2 Premium and Claims'!O$17)</f>
        <v>398693.20609514468</v>
      </c>
      <c r="P5" s="105">
        <f>SUM('Pt 2 Premium and Claims'!P$5,'Pt 2 Premium and Claims'!P$6,-'Pt 2 Premium and Claims'!P$7,-'Pt 2 Premium and Claims'!P$13,'Pt 2 Premium and Claims'!P$14:'Pt 2 Premium and Claims'!P$17)</f>
        <v>0</v>
      </c>
      <c r="Q5" s="105">
        <f>SUM('Pt 2 Premium and Claims'!Q$5,'Pt 2 Premium and Claims'!Q$6,-'Pt 2 Premium and Claims'!Q$7,-'Pt 2 Premium and Claims'!Q$13,'Pt 2 Premium and Claims'!Q$14:'Pt 2 Premium and Claims'!Q$17)</f>
        <v>0</v>
      </c>
      <c r="R5" s="105">
        <f>SUM('Pt 2 Premium and Claims'!R$5,'Pt 2 Premium and Claims'!R$6,-'Pt 2 Premium and Claims'!R$7,-'Pt 2 Premium and Claims'!R$13,'Pt 2 Premium and Claims'!R$14:'Pt 2 Premium and Claims'!R$17)</f>
        <v>0</v>
      </c>
      <c r="S5" s="105">
        <f>SUM('Pt 2 Premium and Claims'!S$5,'Pt 2 Premium and Claims'!S$6,-'Pt 2 Premium and Claims'!S$7,-'Pt 2 Premium and Claims'!S$13,'Pt 2 Premium and Claims'!S$14:'Pt 2 Premium and Claims'!S$17)</f>
        <v>0</v>
      </c>
      <c r="T5" s="105">
        <f>SUM('Pt 2 Premium and Claims'!T$5,'Pt 2 Premium and Claims'!T$6,-'Pt 2 Premium and Claims'!T$7,-'Pt 2 Premium and Claims'!T$13,'Pt 2 Premium and Claims'!T$14:'Pt 2 Premium and Claims'!T$17)</f>
        <v>0</v>
      </c>
      <c r="U5" s="105">
        <f>SUM('Pt 2 Premium and Claims'!U$5,'Pt 2 Premium and Claims'!U$6,-'Pt 2 Premium and Claims'!U$7,-'Pt 2 Premium and Claims'!U$13,'Pt 2 Premium and Claims'!U$14:'Pt 2 Premium and Claims'!U$17)</f>
        <v>0</v>
      </c>
      <c r="V5" s="105">
        <f>SUM('Pt 2 Premium and Claims'!V$5,'Pt 2 Premium and Claims'!V$6,-'Pt 2 Premium and Claims'!V$7,-'Pt 2 Premium and Claims'!V$13,'Pt 2 Premium and Claims'!V$14:'Pt 2 Premium and Claims'!V$17)</f>
        <v>0</v>
      </c>
      <c r="W5" s="105">
        <f>SUM('Pt 2 Premium and Claims'!W$5,'Pt 2 Premium and Claims'!W$6,-'Pt 2 Premium and Claims'!W$7,-'Pt 2 Premium and Claims'!W$13,'Pt 2 Premium and Claims'!W$14:'Pt 2 Premium and Claims'!W$17)</f>
        <v>0</v>
      </c>
      <c r="X5" s="105">
        <f>SUM('Pt 2 Premium and Claims'!X$5,'Pt 2 Premium and Claims'!X$6,-'Pt 2 Premium and Claims'!X$7,-'Pt 2 Premium and Claims'!X$13,'Pt 2 Premium and Claims'!X$14:'Pt 2 Premium and Claims'!X$17)</f>
        <v>0</v>
      </c>
      <c r="Y5" s="105">
        <f>SUM('Pt 2 Premium and Claims'!Y$5,'Pt 2 Premium and Claims'!Y$6,-'Pt 2 Premium and Claims'!Y$7,-'Pt 2 Premium and Claims'!Y$13,'Pt 2 Premium and Claims'!Y$14:'Pt 2 Premium and Claims'!Y$17)</f>
        <v>0</v>
      </c>
      <c r="Z5" s="105">
        <f>SUM('Pt 2 Premium and Claims'!Z$5,'Pt 2 Premium and Claims'!Z$6,-'Pt 2 Premium and Claims'!Z$7,-'Pt 2 Premium and Claims'!Z$13,'Pt 2 Premium and Claims'!Z$14:'Pt 2 Premium and Claims'!Z$17)</f>
        <v>0</v>
      </c>
      <c r="AA5" s="105">
        <f>SUM('Pt 2 Premium and Claims'!AA$5,'Pt 2 Premium and Claims'!AA$6,-'Pt 2 Premium and Claims'!AA$7,-'Pt 2 Premium and Claims'!AA$13,'Pt 2 Premium and Claims'!AA$14:'Pt 2 Premium and Claims'!AA$17)</f>
        <v>0</v>
      </c>
      <c r="AB5" s="105">
        <f>SUM('Pt 2 Premium and Claims'!AB$5,'Pt 2 Premium and Claims'!AB$6,-'Pt 2 Premium and Claims'!AB$7,-'Pt 2 Premium and Claims'!AB$13,'Pt 2 Premium and Claims'!AB$14:'Pt 2 Premium and Claims'!AB$17)</f>
        <v>0</v>
      </c>
      <c r="AC5" s="105">
        <f>SUM('Pt 2 Premium and Claims'!AC$5,'Pt 2 Premium and Claims'!AC$6,-'Pt 2 Premium and Claims'!AC$7,-'Pt 2 Premium and Claims'!AC$13,'Pt 2 Premium and Claims'!AC$14:'Pt 2 Premium and Claims'!AC$17)</f>
        <v>0</v>
      </c>
      <c r="AD5" s="105"/>
      <c r="AE5" s="293"/>
      <c r="AF5" s="293"/>
      <c r="AG5" s="293"/>
      <c r="AH5" s="294"/>
      <c r="AI5" s="105"/>
      <c r="AJ5" s="293"/>
      <c r="AK5" s="293"/>
      <c r="AL5" s="293"/>
      <c r="AM5" s="294"/>
      <c r="AN5" s="105">
        <f>SUM('Pt 2 Premium and Claims'!AN$5,'Pt 2 Premium and Claims'!AN$6,-'Pt 2 Premium and Claims'!AN$7,-'Pt 2 Premium and Claims'!AN$13,'Pt 2 Premium and Claims'!AN$14)</f>
        <v>0</v>
      </c>
      <c r="AO5" s="105">
        <f>SUM('Pt 2 Premium and Claims'!AO$5,'Pt 2 Premium and Claims'!AO$6,-'Pt 2 Premium and Claims'!AO$7,-'Pt 2 Premium and Claims'!AO$13,'Pt 2 Premium and Claims'!AO$14)</f>
        <v>0</v>
      </c>
      <c r="AP5" s="105">
        <f>SUM('Pt 2 Premium and Claims'!AP$5,'Pt 2 Premium and Claims'!AP$6,-'Pt 2 Premium and Claims'!AP$7,-'Pt 2 Premium and Claims'!AP$13,'Pt 2 Premium and Claims'!AP$14)</f>
        <v>0</v>
      </c>
      <c r="AQ5" s="105">
        <f>SUM('Pt 2 Premium and Claims'!AQ$5,'Pt 2 Premium and Claims'!AQ$6,-'Pt 2 Premium and Claims'!AQ$7,-'Pt 2 Premium and Claims'!AQ$13,'Pt 2 Premium and Claims'!AQ$14)</f>
        <v>0</v>
      </c>
      <c r="AR5" s="105">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0</v>
      </c>
      <c r="AT5" s="105">
        <f>SUM('Pt 2 Premium and Claims'!AT$5,'Pt 2 Premium and Claims'!AT$6,-'Pt 2 Premium and Claims'!AT$7,-'Pt 2 Premium and Claims'!AT$13,'Pt 2 Premium and Claims'!AT$14)</f>
        <v>0</v>
      </c>
      <c r="AU5" s="105">
        <f>SUM('Pt 2 Premium and Claims'!AU$5,'Pt 2 Premium and Claims'!AU$6,-'Pt 2 Premium and Claims'!AU$7,-'Pt 2 Premium and Claims'!AU$13,'Pt 2 Premium and Claims'!AU$14)</f>
        <v>0</v>
      </c>
      <c r="AV5" s="108"/>
      <c r="AW5" s="315"/>
    </row>
    <row r="6" spans="1:49" x14ac:dyDescent="0.2">
      <c r="B6" s="153"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3"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3"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3"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3"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x14ac:dyDescent="0.2">
      <c r="A12" s="35"/>
      <c r="B12" s="152" t="s">
        <v>229</v>
      </c>
      <c r="C12" s="61"/>
      <c r="D12" s="105">
        <f>'Pt 2 Premium and Claims'!D$54</f>
        <v>1782810</v>
      </c>
      <c r="E12" s="105">
        <f>'Pt 2 Premium and Claims'!E$54</f>
        <v>1202727.2883005664</v>
      </c>
      <c r="F12" s="105">
        <f>'Pt 2 Premium and Claims'!F$54</f>
        <v>0</v>
      </c>
      <c r="G12" s="105">
        <f>'Pt 2 Premium and Claims'!G$54</f>
        <v>0</v>
      </c>
      <c r="H12" s="105">
        <f>'Pt 2 Premium and Claims'!H$54</f>
        <v>0</v>
      </c>
      <c r="I12" s="105">
        <f>'Pt 2 Premium and Claims'!I$54</f>
        <v>1202727.2883005664</v>
      </c>
      <c r="J12" s="105">
        <f>'Pt 2 Premium and Claims'!J$54</f>
        <v>385758</v>
      </c>
      <c r="K12" s="105">
        <f>'Pt 2 Premium and Claims'!K$54</f>
        <v>453716.22169943352</v>
      </c>
      <c r="L12" s="105">
        <f>'Pt 2 Premium and Claims'!L$54</f>
        <v>0</v>
      </c>
      <c r="M12" s="105">
        <f>'Pt 2 Premium and Claims'!M$54</f>
        <v>0</v>
      </c>
      <c r="N12" s="105">
        <f>'Pt 2 Premium and Claims'!N$54</f>
        <v>0</v>
      </c>
      <c r="O12" s="105">
        <f>'Pt 2 Premium and Claims'!O$54</f>
        <v>453716.22169943352</v>
      </c>
      <c r="P12" s="105">
        <f>'Pt 2 Premium and Claims'!P$54</f>
        <v>0</v>
      </c>
      <c r="Q12" s="105">
        <f>'Pt 2 Premium and Claims'!Q$54</f>
        <v>0</v>
      </c>
      <c r="R12" s="105">
        <f>'Pt 2 Premium and Claims'!R$54</f>
        <v>0</v>
      </c>
      <c r="S12" s="105">
        <f>'Pt 2 Premium and Claims'!S$54</f>
        <v>0</v>
      </c>
      <c r="T12" s="105">
        <f>'Pt 2 Premium and Claims'!T$54</f>
        <v>0</v>
      </c>
      <c r="U12" s="105">
        <f>'Pt 2 Premium and Claims'!U$54</f>
        <v>0</v>
      </c>
      <c r="V12" s="105">
        <f>'Pt 2 Premium and Claims'!V$54</f>
        <v>0</v>
      </c>
      <c r="W12" s="105">
        <f>'Pt 2 Premium and Claims'!W$54</f>
        <v>0</v>
      </c>
      <c r="X12" s="105">
        <f>'Pt 2 Premium and Claims'!X$54</f>
        <v>0</v>
      </c>
      <c r="Y12" s="105">
        <f>'Pt 2 Premium and Claims'!Y$54</f>
        <v>0</v>
      </c>
      <c r="Z12" s="105">
        <f>'Pt 2 Premium and Claims'!Z$54</f>
        <v>0</v>
      </c>
      <c r="AA12" s="105">
        <f>'Pt 2 Premium and Claims'!AA$54</f>
        <v>0</v>
      </c>
      <c r="AB12" s="105">
        <f>'Pt 2 Premium and Claims'!AB$54</f>
        <v>0</v>
      </c>
      <c r="AC12" s="105">
        <f>'Pt 2 Premium and Claims'!AC$54</f>
        <v>0</v>
      </c>
      <c r="AD12" s="105"/>
      <c r="AE12" s="293"/>
      <c r="AF12" s="293"/>
      <c r="AG12" s="293"/>
      <c r="AH12" s="294"/>
      <c r="AI12" s="105"/>
      <c r="AJ12" s="293"/>
      <c r="AK12" s="293"/>
      <c r="AL12" s="293"/>
      <c r="AM12" s="294"/>
      <c r="AN12" s="105">
        <f>'Pt 2 Premium and Claims'!AN$54</f>
        <v>0</v>
      </c>
      <c r="AO12" s="105">
        <f>'Pt 2 Premium and Claims'!AO$54</f>
        <v>0</v>
      </c>
      <c r="AP12" s="105">
        <f>'Pt 2 Premium and Claims'!AP$54</f>
        <v>0</v>
      </c>
      <c r="AQ12" s="105">
        <f>'Pt 2 Premium and Claims'!AQ$54</f>
        <v>0</v>
      </c>
      <c r="AR12" s="105">
        <f>'Pt 2 Premium and Claims'!AR$54</f>
        <v>0</v>
      </c>
      <c r="AS12" s="105">
        <f>'Pt 2 Premium and Claims'!AS$54</f>
        <v>0</v>
      </c>
      <c r="AT12" s="105">
        <f>'Pt 2 Premium and Claims'!AT$54</f>
        <v>0</v>
      </c>
      <c r="AU12" s="105">
        <f>'Pt 2 Premium and Claims'!AU$54</f>
        <v>0</v>
      </c>
      <c r="AV12" s="310"/>
      <c r="AW12" s="315"/>
    </row>
    <row r="13" spans="1:49" ht="25.5" x14ac:dyDescent="0.2">
      <c r="B13" s="153"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3"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3"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3"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3"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3"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3"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3"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3"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3"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f>'Pt 2 Premium and Claims'!U$55</f>
        <v>0</v>
      </c>
      <c r="V22" s="114">
        <f>'Pt 2 Premium and Claims'!V$55</f>
        <v>0</v>
      </c>
      <c r="W22" s="114">
        <f>'Pt 2 Premium and Claims'!W$55</f>
        <v>0</v>
      </c>
      <c r="X22" s="114">
        <f>'Pt 2 Premium and Claims'!X$55</f>
        <v>0</v>
      </c>
      <c r="Y22" s="114">
        <f>'Pt 2 Premium and Claims'!Y$55</f>
        <v>0</v>
      </c>
      <c r="Z22" s="114">
        <f>'Pt 2 Premium and Claims'!Z$55</f>
        <v>0</v>
      </c>
      <c r="AA22" s="114">
        <f>'Pt 2 Premium and Claims'!AA$55</f>
        <v>0</v>
      </c>
      <c r="AB22" s="114">
        <f>'Pt 2 Premium and Claims'!AB$55</f>
        <v>0</v>
      </c>
      <c r="AC22" s="114">
        <f>'Pt 2 Premium and Claims'!AC$55</f>
        <v>0</v>
      </c>
      <c r="AD22" s="114"/>
      <c r="AE22" s="289"/>
      <c r="AF22" s="289"/>
      <c r="AG22" s="289"/>
      <c r="AH22" s="289"/>
      <c r="AI22" s="114"/>
      <c r="AJ22" s="289"/>
      <c r="AK22" s="289"/>
      <c r="AL22" s="289"/>
      <c r="AM22" s="289"/>
      <c r="AN22" s="114">
        <f>'Pt 2 Premium and Claims'!AN$55</f>
        <v>0</v>
      </c>
      <c r="AO22" s="114">
        <f>'Pt 2 Premium and Claims'!AO$55</f>
        <v>0</v>
      </c>
      <c r="AP22" s="114">
        <f>'Pt 2 Premium and Claims'!AP$55</f>
        <v>0</v>
      </c>
      <c r="AQ22" s="114">
        <f>'Pt 2 Premium and Claims'!AQ$55</f>
        <v>0</v>
      </c>
      <c r="AR22" s="114">
        <f>'Pt 2 Premium and Claims'!AR$55</f>
        <v>0</v>
      </c>
      <c r="AS22" s="114">
        <f>'Pt 2 Premium and Claims'!AS$55</f>
        <v>0</v>
      </c>
      <c r="AT22" s="114">
        <f>'Pt 2 Premium and Claims'!AT$55</f>
        <v>0</v>
      </c>
      <c r="AU22" s="114">
        <f>'Pt 2 Premium and Claims'!AU$55</f>
        <v>0</v>
      </c>
      <c r="AV22" s="309"/>
      <c r="AW22" s="316"/>
    </row>
    <row r="23" spans="1:49" ht="33" x14ac:dyDescent="0.2">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5.5" x14ac:dyDescent="0.2">
      <c r="A24" s="35"/>
      <c r="B24" s="155"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6"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6" t="s">
        <v>243</v>
      </c>
      <c r="C26" s="62"/>
      <c r="D26" s="109">
        <v>2543.62</v>
      </c>
      <c r="E26" s="110">
        <v>2543.62</v>
      </c>
      <c r="F26" s="110"/>
      <c r="G26" s="110"/>
      <c r="H26" s="110"/>
      <c r="I26" s="109">
        <v>2543.62</v>
      </c>
      <c r="J26" s="109">
        <v>522.27</v>
      </c>
      <c r="K26" s="110">
        <v>522.27</v>
      </c>
      <c r="L26" s="110"/>
      <c r="M26" s="110"/>
      <c r="N26" s="110"/>
      <c r="O26" s="109">
        <v>522</v>
      </c>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6"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6"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7"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6"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6"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6"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7"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6" t="s">
        <v>251</v>
      </c>
      <c r="C34" s="62"/>
      <c r="D34" s="109">
        <v>70795.83941093969</v>
      </c>
      <c r="E34" s="110">
        <v>70795.83941093969</v>
      </c>
      <c r="F34" s="110"/>
      <c r="G34" s="110"/>
      <c r="H34" s="110"/>
      <c r="I34" s="109">
        <v>70795.83941093969</v>
      </c>
      <c r="J34" s="109">
        <v>14536.160589060308</v>
      </c>
      <c r="K34" s="110">
        <v>14536.160589060308</v>
      </c>
      <c r="L34" s="110"/>
      <c r="M34" s="110"/>
      <c r="N34" s="110"/>
      <c r="O34" s="109">
        <v>14536.160589060308</v>
      </c>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6"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x14ac:dyDescent="0.2">
      <c r="B37" s="158" t="s">
        <v>254</v>
      </c>
      <c r="C37" s="61" t="s">
        <v>15</v>
      </c>
      <c r="D37" s="117">
        <v>790060</v>
      </c>
      <c r="E37" s="118">
        <v>501251.98937005573</v>
      </c>
      <c r="F37" s="118"/>
      <c r="G37" s="118"/>
      <c r="H37" s="118"/>
      <c r="I37" s="117">
        <v>501251.98937005573</v>
      </c>
      <c r="J37" s="117">
        <v>170950</v>
      </c>
      <c r="K37" s="118">
        <v>102919.59914162941</v>
      </c>
      <c r="L37" s="118"/>
      <c r="M37" s="118"/>
      <c r="N37" s="118"/>
      <c r="O37" s="117">
        <v>102919.59914162941</v>
      </c>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3"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6"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6" t="s">
        <v>257</v>
      </c>
      <c r="C40" s="62" t="s">
        <v>38</v>
      </c>
      <c r="D40" s="109">
        <v>17577</v>
      </c>
      <c r="E40" s="110">
        <v>17577</v>
      </c>
      <c r="F40" s="110"/>
      <c r="G40" s="110"/>
      <c r="H40" s="110"/>
      <c r="I40" s="109">
        <v>17577</v>
      </c>
      <c r="J40" s="109">
        <v>3803</v>
      </c>
      <c r="K40" s="110">
        <v>3803</v>
      </c>
      <c r="L40" s="110"/>
      <c r="M40" s="110"/>
      <c r="N40" s="110"/>
      <c r="O40" s="109">
        <v>3803</v>
      </c>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6"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3"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5.5" x14ac:dyDescent="0.2">
      <c r="B44" s="158" t="s">
        <v>261</v>
      </c>
      <c r="C44" s="61" t="s">
        <v>18</v>
      </c>
      <c r="D44" s="117">
        <v>0</v>
      </c>
      <c r="E44" s="118">
        <v>0</v>
      </c>
      <c r="F44" s="118"/>
      <c r="G44" s="118"/>
      <c r="H44" s="118"/>
      <c r="I44" s="117">
        <v>0</v>
      </c>
      <c r="J44" s="117"/>
      <c r="K44" s="118">
        <v>0</v>
      </c>
      <c r="L44" s="118"/>
      <c r="M44" s="118"/>
      <c r="N44" s="118"/>
      <c r="O44" s="117">
        <v>0</v>
      </c>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59" t="s">
        <v>262</v>
      </c>
      <c r="C45" s="62" t="s">
        <v>19</v>
      </c>
      <c r="D45" s="109">
        <v>20913</v>
      </c>
      <c r="E45" s="110">
        <v>596073</v>
      </c>
      <c r="F45" s="110"/>
      <c r="G45" s="110"/>
      <c r="H45" s="110"/>
      <c r="I45" s="109">
        <v>596073</v>
      </c>
      <c r="J45" s="109">
        <v>4525</v>
      </c>
      <c r="K45" s="110">
        <v>122389</v>
      </c>
      <c r="L45" s="110"/>
      <c r="M45" s="110"/>
      <c r="N45" s="110"/>
      <c r="O45" s="109">
        <v>122389</v>
      </c>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59"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59" t="s">
        <v>264</v>
      </c>
      <c r="C47" s="62" t="s">
        <v>21</v>
      </c>
      <c r="D47" s="109">
        <v>64919</v>
      </c>
      <c r="E47" s="110">
        <v>64919</v>
      </c>
      <c r="F47" s="110"/>
      <c r="G47" s="110"/>
      <c r="H47" s="110"/>
      <c r="I47" s="109"/>
      <c r="J47" s="109">
        <v>14897</v>
      </c>
      <c r="K47" s="110">
        <v>14897</v>
      </c>
      <c r="L47" s="110"/>
      <c r="M47" s="110"/>
      <c r="N47" s="110"/>
      <c r="O47" s="109">
        <v>14897</v>
      </c>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59" t="s">
        <v>305</v>
      </c>
      <c r="C49" s="62"/>
      <c r="D49" s="109">
        <v>411</v>
      </c>
      <c r="E49" s="110">
        <v>411</v>
      </c>
      <c r="F49" s="110"/>
      <c r="G49" s="110"/>
      <c r="H49" s="110"/>
      <c r="I49" s="109">
        <v>411</v>
      </c>
      <c r="J49" s="109">
        <v>89</v>
      </c>
      <c r="K49" s="110">
        <v>89</v>
      </c>
      <c r="L49" s="110"/>
      <c r="M49" s="110"/>
      <c r="N49" s="110"/>
      <c r="O49" s="109">
        <v>89</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3"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3" t="s">
        <v>267</v>
      </c>
      <c r="C51" s="62"/>
      <c r="D51" s="109">
        <v>10221584</v>
      </c>
      <c r="E51" s="110">
        <v>10059417</v>
      </c>
      <c r="F51" s="110"/>
      <c r="G51" s="110"/>
      <c r="H51" s="110"/>
      <c r="I51" s="109">
        <v>10059417</v>
      </c>
      <c r="J51" s="109">
        <v>2211706</v>
      </c>
      <c r="K51" s="110">
        <v>2065450</v>
      </c>
      <c r="L51" s="110"/>
      <c r="M51" s="110"/>
      <c r="N51" s="110"/>
      <c r="O51" s="109">
        <v>2065450</v>
      </c>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3"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3"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4"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4"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58" t="s">
        <v>272</v>
      </c>
      <c r="C56" s="61" t="s">
        <v>24</v>
      </c>
      <c r="D56" s="121">
        <v>2609</v>
      </c>
      <c r="E56" s="122">
        <v>1638</v>
      </c>
      <c r="F56" s="122"/>
      <c r="G56" s="122"/>
      <c r="H56" s="122" t="s">
        <v>499</v>
      </c>
      <c r="I56" s="121">
        <v>1638</v>
      </c>
      <c r="J56" s="121">
        <v>215</v>
      </c>
      <c r="K56" s="122">
        <v>252</v>
      </c>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59" t="s">
        <v>273</v>
      </c>
      <c r="C57" s="62" t="s">
        <v>25</v>
      </c>
      <c r="D57" s="124">
        <v>1347</v>
      </c>
      <c r="E57" s="125">
        <v>2188</v>
      </c>
      <c r="F57" s="125"/>
      <c r="G57" s="125"/>
      <c r="H57" s="125"/>
      <c r="I57" s="124">
        <v>2188</v>
      </c>
      <c r="J57" s="124">
        <v>353</v>
      </c>
      <c r="K57" s="125">
        <v>452</v>
      </c>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59" t="s">
        <v>274</v>
      </c>
      <c r="C58" s="62" t="s">
        <v>26</v>
      </c>
      <c r="D58" s="328"/>
      <c r="E58" s="329"/>
      <c r="F58" s="329"/>
      <c r="G58" s="329"/>
      <c r="H58" s="329"/>
      <c r="I58" s="328"/>
      <c r="J58" s="124">
        <v>145</v>
      </c>
      <c r="K58" s="125">
        <v>195</v>
      </c>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59" t="s">
        <v>275</v>
      </c>
      <c r="C59" s="62" t="s">
        <v>27</v>
      </c>
      <c r="D59" s="124">
        <v>14197</v>
      </c>
      <c r="E59" s="125">
        <v>13931</v>
      </c>
      <c r="F59" s="125"/>
      <c r="G59" s="125"/>
      <c r="H59" s="125"/>
      <c r="I59" s="124">
        <v>13931</v>
      </c>
      <c r="J59" s="124"/>
      <c r="K59" s="125">
        <v>3029</v>
      </c>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59" t="s">
        <v>276</v>
      </c>
      <c r="C60" s="62"/>
      <c r="D60" s="380">
        <f>D$59/12</f>
        <v>1183.0833333333333</v>
      </c>
      <c r="E60" s="380">
        <f t="shared" ref="E60:AC60" si="0">E$59/12</f>
        <v>1160.9166666666667</v>
      </c>
      <c r="F60" s="380">
        <f t="shared" si="0"/>
        <v>0</v>
      </c>
      <c r="G60" s="380">
        <f t="shared" si="0"/>
        <v>0</v>
      </c>
      <c r="H60" s="380">
        <f t="shared" si="0"/>
        <v>0</v>
      </c>
      <c r="I60" s="380">
        <f t="shared" si="0"/>
        <v>1160.9166666666667</v>
      </c>
      <c r="J60" s="380">
        <f t="shared" si="0"/>
        <v>0</v>
      </c>
      <c r="K60" s="380">
        <f t="shared" si="0"/>
        <v>252.41666666666666</v>
      </c>
      <c r="L60" s="380">
        <f t="shared" si="0"/>
        <v>0</v>
      </c>
      <c r="M60" s="380">
        <f t="shared" si="0"/>
        <v>0</v>
      </c>
      <c r="N60" s="380">
        <f>N$59/12</f>
        <v>0</v>
      </c>
      <c r="O60" s="380">
        <f t="shared" si="0"/>
        <v>0</v>
      </c>
      <c r="P60" s="380">
        <f t="shared" si="0"/>
        <v>0</v>
      </c>
      <c r="Q60" s="380">
        <f t="shared" si="0"/>
        <v>0</v>
      </c>
      <c r="R60" s="380">
        <f t="shared" si="0"/>
        <v>0</v>
      </c>
      <c r="S60" s="380">
        <f t="shared" si="0"/>
        <v>0</v>
      </c>
      <c r="T60" s="380">
        <f t="shared" si="0"/>
        <v>0</v>
      </c>
      <c r="U60" s="380">
        <f t="shared" si="0"/>
        <v>0</v>
      </c>
      <c r="V60" s="380">
        <f t="shared" si="0"/>
        <v>0</v>
      </c>
      <c r="W60" s="380">
        <f t="shared" si="0"/>
        <v>0</v>
      </c>
      <c r="X60" s="380">
        <f t="shared" si="0"/>
        <v>0</v>
      </c>
      <c r="Y60" s="380">
        <f t="shared" si="0"/>
        <v>0</v>
      </c>
      <c r="Z60" s="380">
        <f t="shared" si="0"/>
        <v>0</v>
      </c>
      <c r="AA60" s="380">
        <f t="shared" si="0"/>
        <v>0</v>
      </c>
      <c r="AB60" s="380">
        <f t="shared" si="0"/>
        <v>0</v>
      </c>
      <c r="AC60" s="380">
        <f t="shared" si="0"/>
        <v>0</v>
      </c>
      <c r="AD60" s="127"/>
      <c r="AE60" s="302"/>
      <c r="AF60" s="302"/>
      <c r="AG60" s="302"/>
      <c r="AH60" s="303"/>
      <c r="AI60" s="127"/>
      <c r="AJ60" s="302"/>
      <c r="AK60" s="302"/>
      <c r="AL60" s="302"/>
      <c r="AM60" s="303"/>
      <c r="AN60" s="380">
        <f>AN$59/12</f>
        <v>0</v>
      </c>
      <c r="AO60" s="380">
        <f t="shared" ref="AO60:AV60" si="1">AO$59/12</f>
        <v>0</v>
      </c>
      <c r="AP60" s="380">
        <f t="shared" si="1"/>
        <v>0</v>
      </c>
      <c r="AQ60" s="380">
        <f t="shared" si="1"/>
        <v>0</v>
      </c>
      <c r="AR60" s="380">
        <f t="shared" si="1"/>
        <v>0</v>
      </c>
      <c r="AS60" s="380">
        <f t="shared" si="1"/>
        <v>0</v>
      </c>
      <c r="AT60" s="380">
        <f t="shared" si="1"/>
        <v>0</v>
      </c>
      <c r="AU60" s="380">
        <f t="shared" si="1"/>
        <v>0</v>
      </c>
      <c r="AV60" s="380">
        <f t="shared" si="1"/>
        <v>0</v>
      </c>
      <c r="AW60" s="308"/>
    </row>
    <row r="61" spans="2:49" ht="16.5" x14ac:dyDescent="0.2">
      <c r="B61" s="154"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2"/>
    </row>
    <row r="62" spans="2:49" ht="33" x14ac:dyDescent="0.2">
      <c r="B62" s="169" t="s">
        <v>306</v>
      </c>
      <c r="C62" s="170"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1"/>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E4" sqref="E4:E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2:49" ht="16.5" x14ac:dyDescent="0.2">
      <c r="B4" s="172" t="s">
        <v>221</v>
      </c>
      <c r="C4" s="129"/>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3" t="s">
        <v>278</v>
      </c>
      <c r="C5" s="130"/>
      <c r="D5" s="117">
        <v>2653728</v>
      </c>
      <c r="E5" s="118">
        <v>3466522.1804</v>
      </c>
      <c r="F5" s="118"/>
      <c r="G5" s="128"/>
      <c r="H5" s="128"/>
      <c r="I5" s="117">
        <v>3466522.1804000037</v>
      </c>
      <c r="J5" s="117">
        <v>697180</v>
      </c>
      <c r="K5" s="118">
        <v>870653.84</v>
      </c>
      <c r="L5" s="118"/>
      <c r="M5" s="118"/>
      <c r="N5" s="118"/>
      <c r="O5" s="117">
        <v>870653.84039999975</v>
      </c>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4" t="s">
        <v>279</v>
      </c>
      <c r="C6" s="131"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4" t="s">
        <v>280</v>
      </c>
      <c r="C7" s="131"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5" t="s">
        <v>281</v>
      </c>
      <c r="C8" s="132"/>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1"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6" t="s">
        <v>83</v>
      </c>
      <c r="C10" s="131"/>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4" t="s">
        <v>282</v>
      </c>
      <c r="C11" s="131"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4" t="s">
        <v>283</v>
      </c>
      <c r="C12" s="131"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4" t="s">
        <v>284</v>
      </c>
      <c r="C13" s="131"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4" t="s">
        <v>285</v>
      </c>
      <c r="C14" s="131"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6" t="s">
        <v>286</v>
      </c>
      <c r="C15" s="131"/>
      <c r="D15" s="109">
        <v>3733</v>
      </c>
      <c r="E15" s="110">
        <v>1167.5999999999999</v>
      </c>
      <c r="F15" s="110"/>
      <c r="G15" s="110"/>
      <c r="H15" s="110"/>
      <c r="I15" s="109">
        <v>1168</v>
      </c>
      <c r="J15" s="374"/>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1"/>
      <c r="D16" s="109">
        <v>-1044168.732</v>
      </c>
      <c r="E16" s="110">
        <v>-2592718.8092331649</v>
      </c>
      <c r="F16" s="110"/>
      <c r="G16" s="110"/>
      <c r="H16" s="110"/>
      <c r="I16" s="109">
        <v>-2592718.8092331649</v>
      </c>
      <c r="J16" s="109">
        <v>-190073.26800000001</v>
      </c>
      <c r="K16" s="110">
        <v>-471960.63430485508</v>
      </c>
      <c r="L16" s="110"/>
      <c r="M16" s="110"/>
      <c r="N16" s="110"/>
      <c r="O16" s="109">
        <v>-471960.63430485508</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1"/>
      <c r="D17" s="109">
        <v>281088</v>
      </c>
      <c r="E17" s="267">
        <v>1138798</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1"/>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1"/>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1"/>
      <c r="D20" s="109">
        <v>0</v>
      </c>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3"/>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x14ac:dyDescent="0.2">
      <c r="B22" s="178" t="s">
        <v>288</v>
      </c>
      <c r="C22" s="130"/>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4" t="s">
        <v>125</v>
      </c>
      <c r="C23" s="131"/>
      <c r="D23" s="109">
        <v>1089308</v>
      </c>
      <c r="E23" s="286"/>
      <c r="F23" s="286"/>
      <c r="G23" s="286"/>
      <c r="H23" s="286"/>
      <c r="I23" s="290"/>
      <c r="J23" s="109">
        <v>235700</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6" t="s">
        <v>114</v>
      </c>
      <c r="C24" s="131"/>
      <c r="D24" s="291"/>
      <c r="E24" s="110">
        <v>1119992.7299999997</v>
      </c>
      <c r="F24" s="110"/>
      <c r="G24" s="110"/>
      <c r="H24" s="110"/>
      <c r="I24" s="109">
        <v>1119992.7299999997</v>
      </c>
      <c r="J24" s="291"/>
      <c r="K24" s="110">
        <v>400126.34</v>
      </c>
      <c r="L24" s="110"/>
      <c r="M24" s="110"/>
      <c r="N24" s="110"/>
      <c r="O24" s="109">
        <v>400126.34</v>
      </c>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1"/>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1" t="s">
        <v>0</v>
      </c>
      <c r="D26" s="109"/>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6" t="s">
        <v>85</v>
      </c>
      <c r="C27" s="131"/>
      <c r="D27" s="291"/>
      <c r="E27" s="110"/>
      <c r="F27" s="110"/>
      <c r="G27" s="110"/>
      <c r="H27" s="110"/>
      <c r="I27" s="109"/>
      <c r="J27" s="291"/>
      <c r="K27" s="110"/>
      <c r="L27" s="110"/>
      <c r="M27" s="110"/>
      <c r="N27" s="110"/>
      <c r="O27" s="109">
        <v>0</v>
      </c>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4" t="s">
        <v>290</v>
      </c>
      <c r="C28" s="131"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5" t="s">
        <v>291</v>
      </c>
      <c r="C29" s="132"/>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1" t="s">
        <v>1</v>
      </c>
      <c r="D30" s="109">
        <v>346751</v>
      </c>
      <c r="E30" s="286"/>
      <c r="F30" s="286"/>
      <c r="G30" s="286"/>
      <c r="H30" s="286"/>
      <c r="I30" s="290"/>
      <c r="J30" s="109">
        <v>75029</v>
      </c>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6" t="s">
        <v>84</v>
      </c>
      <c r="C31" s="131"/>
      <c r="D31" s="291"/>
      <c r="E31" s="110">
        <v>82734.558300566539</v>
      </c>
      <c r="F31" s="110"/>
      <c r="G31" s="110"/>
      <c r="H31" s="110"/>
      <c r="I31" s="109">
        <v>82734.558300566539</v>
      </c>
      <c r="J31" s="291"/>
      <c r="K31" s="110">
        <v>53589.881699433463</v>
      </c>
      <c r="L31" s="110"/>
      <c r="M31" s="110"/>
      <c r="N31" s="110"/>
      <c r="O31" s="109">
        <v>53589.881699433463</v>
      </c>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4" t="s">
        <v>292</v>
      </c>
      <c r="C32" s="131"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5" t="s">
        <v>293</v>
      </c>
      <c r="C33" s="132"/>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1"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1"/>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1"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1"/>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1"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1"/>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2"/>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1"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1"/>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1"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1"/>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1"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1"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1"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1"/>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4" t="s">
        <v>118</v>
      </c>
      <c r="C49" s="131"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4" t="s">
        <v>119</v>
      </c>
      <c r="C50" s="131"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1"/>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4" t="s">
        <v>301</v>
      </c>
      <c r="C52" s="131"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4" t="s">
        <v>302</v>
      </c>
      <c r="C53" s="131"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79" t="s">
        <v>303</v>
      </c>
      <c r="C54" s="134" t="s">
        <v>77</v>
      </c>
      <c r="D54" s="378">
        <f>D23+D30-D28+D30-D32+D34-D36+D38+D41-D43+D45+D46-D47-D49+D50+D51+D52+D53</f>
        <v>1782810</v>
      </c>
      <c r="E54" s="378">
        <f>E24+E31+E35-E36+E39+E42+E45+E46-E49+E51+E52+E53</f>
        <v>1202727.2883005664</v>
      </c>
      <c r="F54" s="378">
        <f>F24+F27+F31+F35-F36+F39+F42+F45+F46-F49+F51+F52+F53</f>
        <v>0</v>
      </c>
      <c r="G54" s="383">
        <f>G24+G27+G31+G35-G36+G39+G42+G45+G46-G49+G51+G52+G53</f>
        <v>0</v>
      </c>
      <c r="H54" s="383">
        <f>H24+H27+H31+H35-H36+H39+H42+H45+H46-H49+H51+H52+H53</f>
        <v>0</v>
      </c>
      <c r="I54" s="383">
        <f>I24+I27+I31+I35-I36+I39+I42+I45+I46-I49+I51+I52+I53</f>
        <v>1202727.2883005664</v>
      </c>
      <c r="J54" s="379">
        <f>J23+J30-J28+J30-J32+J34-J36+J38+J41-J43+J45+J46-J47-J49+J50+J51+J52+J53</f>
        <v>385758</v>
      </c>
      <c r="K54" s="383">
        <f>K24+K27+K31+K35-K36+K39+K42+K45+K46-K49+K51+K52+K53</f>
        <v>453716.22169943352</v>
      </c>
      <c r="L54" s="383">
        <f t="shared" ref="L54:N54" si="0">L24+L27+L31+L35-L36+L39+L42+L45+L46-L49+L51+L52+L53</f>
        <v>0</v>
      </c>
      <c r="M54" s="383">
        <f t="shared" si="0"/>
        <v>0</v>
      </c>
      <c r="N54" s="383">
        <f t="shared" si="0"/>
        <v>0</v>
      </c>
      <c r="O54" s="379">
        <f>O24+O27+O31+O35-O36+O39+O42+O45+O46-O49+O51+O52+O53</f>
        <v>453716.22169943352</v>
      </c>
      <c r="P54" s="379">
        <f>P23+P26-P28+P30-P32+P34-P36+P38+P41-P43+P45+P46-P47-P49+P50+P51+P52+P53</f>
        <v>0</v>
      </c>
      <c r="Q54" s="383">
        <f>Q24+Q27+Q31+Q35-Q36+Q39+Q42+Q45+Q46-Q49+Q51+Q52+Q53</f>
        <v>0</v>
      </c>
      <c r="R54" s="383">
        <f t="shared" ref="R54:T54" si="1">R24+R27+R31+R35-R36+R39+R42+R45+R46-R49+R51+R52+R53</f>
        <v>0</v>
      </c>
      <c r="S54" s="383">
        <f t="shared" si="1"/>
        <v>0</v>
      </c>
      <c r="T54" s="383">
        <f t="shared" si="1"/>
        <v>0</v>
      </c>
      <c r="U54" s="379">
        <f>U23+U26-U28+U30-U32+U34-U36+U38+U41-U43+U45+U46-U47-U49+U50+U51+U52+U53</f>
        <v>0</v>
      </c>
      <c r="V54" s="383">
        <f>V24+V27+V31+V35-V36+V39+V42+V45+V46-V49+V51+V52+V53</f>
        <v>0</v>
      </c>
      <c r="W54" s="383">
        <f t="shared" ref="W54" si="2">W24+W27+W31+W35-W36+W39+W42+W45+W46-W49+W51+W52+W53</f>
        <v>0</v>
      </c>
      <c r="X54" s="379">
        <f>X23+X26-X28+X30-X32+X34-X36+X38+X41-X43+X45+X46-X47-X49+X50+X51+X52+X53</f>
        <v>0</v>
      </c>
      <c r="Y54" s="383">
        <f>Y24+Y27+Y31+Y35-Y36+Y39+Y42+Y45+Y46-Y49+Y51+Y52+Y53</f>
        <v>0</v>
      </c>
      <c r="Z54" s="383">
        <f t="shared" ref="Z54" si="3">Z24+Z27+Z31+Z35-Z36+Z39+Z42+Z45+Z46-Z49+Z51+Z52+Z53</f>
        <v>0</v>
      </c>
      <c r="AA54" s="379">
        <f>AA23+AA26-AA28+AA30-AA32+AA34-AA36+AA38+AA41-AA43+AA45+AA46-AA47-AA49+AA50+AA51+AA52+AA53</f>
        <v>0</v>
      </c>
      <c r="AB54" s="383">
        <f>AB24+AB27+AB31+AB35-AB36+AB39+AB42+AB45+AB46-AB49+AB51+AB52+AB53</f>
        <v>0</v>
      </c>
      <c r="AC54" s="383">
        <f t="shared" ref="AC54" si="4">AC24+AC27+AC31+AC35-AC36+AC39+AC42+AC45+AC46-AC49+AC51+AC52+AC53</f>
        <v>0</v>
      </c>
      <c r="AD54" s="114"/>
      <c r="AE54" s="286"/>
      <c r="AF54" s="286"/>
      <c r="AG54" s="286"/>
      <c r="AH54" s="286"/>
      <c r="AI54" s="114"/>
      <c r="AJ54" s="286"/>
      <c r="AK54" s="286"/>
      <c r="AL54" s="286"/>
      <c r="AM54" s="286"/>
      <c r="AN54" s="379">
        <f>AN23+AN26-AN28+AN30-AN32+AN34-AN36+AN38+AN41-AN43+AN45+AN46-AN47-AN49+AN50+AN51+AN52+AN53</f>
        <v>0</v>
      </c>
      <c r="AO54" s="379">
        <f t="shared" ref="AO54:AU54" si="5">AO23+AO26-AO28+AO30-AO32+AO34-AO36+AO38+AO41-AO43+AO45+AO46-AO47-AO49+AO50+AO51+AO52+AO53</f>
        <v>0</v>
      </c>
      <c r="AP54" s="379">
        <f t="shared" si="5"/>
        <v>0</v>
      </c>
      <c r="AQ54" s="379">
        <f t="shared" si="5"/>
        <v>0</v>
      </c>
      <c r="AR54" s="379">
        <f t="shared" si="5"/>
        <v>0</v>
      </c>
      <c r="AS54" s="379">
        <f t="shared" si="5"/>
        <v>0</v>
      </c>
      <c r="AT54" s="379">
        <f t="shared" si="5"/>
        <v>0</v>
      </c>
      <c r="AU54" s="379">
        <f t="shared" si="5"/>
        <v>0</v>
      </c>
      <c r="AV54" s="309"/>
      <c r="AW54" s="316"/>
    </row>
    <row r="55" spans="2:49" ht="25.5" x14ac:dyDescent="0.2">
      <c r="B55" s="179" t="s">
        <v>304</v>
      </c>
      <c r="C55" s="135" t="s">
        <v>28</v>
      </c>
      <c r="D55" s="378">
        <f>MIN(MAX(0,D56),MAX(0,D57))</f>
        <v>0</v>
      </c>
      <c r="E55" s="381">
        <f>MIN(MAX(0,E56),MAX(0,E57))</f>
        <v>0</v>
      </c>
      <c r="F55" s="383">
        <f t="shared" ref="F55:H55" si="6">MIN(MAX(0,F56),MAX(0,F57))</f>
        <v>0</v>
      </c>
      <c r="G55" s="383">
        <f t="shared" si="6"/>
        <v>0</v>
      </c>
      <c r="H55" s="383">
        <f t="shared" si="6"/>
        <v>0</v>
      </c>
      <c r="I55" s="379">
        <f>MIN(MAX(0,I56),MAX(0,I57))</f>
        <v>0</v>
      </c>
      <c r="J55" s="379">
        <f t="shared" ref="J55:N55" si="7">MIN(MAX(0,J56),MAX(0,J57))</f>
        <v>0</v>
      </c>
      <c r="K55" s="383">
        <f>MIN(MAX(0,K56),MAX(0,K57))</f>
        <v>0</v>
      </c>
      <c r="L55" s="383">
        <f t="shared" si="7"/>
        <v>0</v>
      </c>
      <c r="M55" s="383">
        <f t="shared" si="7"/>
        <v>0</v>
      </c>
      <c r="N55" s="383">
        <f t="shared" si="7"/>
        <v>0</v>
      </c>
      <c r="O55" s="379">
        <f>MIN(MAX(0,O56),MAX(0,O57))</f>
        <v>0</v>
      </c>
      <c r="P55" s="379">
        <f t="shared" ref="P55:AC55" si="8">MIN(MAX(0,P56),MAX(0,P57))</f>
        <v>0</v>
      </c>
      <c r="Q55" s="383">
        <f t="shared" si="8"/>
        <v>0</v>
      </c>
      <c r="R55" s="383">
        <f t="shared" si="8"/>
        <v>0</v>
      </c>
      <c r="S55" s="383">
        <f t="shared" si="8"/>
        <v>0</v>
      </c>
      <c r="T55" s="383">
        <f t="shared" si="8"/>
        <v>0</v>
      </c>
      <c r="U55" s="379">
        <f t="shared" si="8"/>
        <v>0</v>
      </c>
      <c r="V55" s="383">
        <f t="shared" si="8"/>
        <v>0</v>
      </c>
      <c r="W55" s="383">
        <f t="shared" si="8"/>
        <v>0</v>
      </c>
      <c r="X55" s="379">
        <f t="shared" si="8"/>
        <v>0</v>
      </c>
      <c r="Y55" s="383">
        <f t="shared" si="8"/>
        <v>0</v>
      </c>
      <c r="Z55" s="383">
        <f t="shared" si="8"/>
        <v>0</v>
      </c>
      <c r="AA55" s="379">
        <f t="shared" si="8"/>
        <v>0</v>
      </c>
      <c r="AB55" s="383">
        <f t="shared" si="8"/>
        <v>0</v>
      </c>
      <c r="AC55" s="383">
        <f t="shared" si="8"/>
        <v>0</v>
      </c>
      <c r="AD55" s="114"/>
      <c r="AE55" s="286"/>
      <c r="AF55" s="286"/>
      <c r="AG55" s="286"/>
      <c r="AH55" s="286"/>
      <c r="AI55" s="114"/>
      <c r="AJ55" s="286"/>
      <c r="AK55" s="286"/>
      <c r="AL55" s="286"/>
      <c r="AM55" s="286"/>
      <c r="AN55" s="379">
        <f>MIN(MAX(0,AN56),MAX(0,AN57))</f>
        <v>0</v>
      </c>
      <c r="AO55" s="379">
        <f t="shared" ref="AO55:AU55" si="9">MIN(MAX(0,AO56),MAX(0,AO57))</f>
        <v>0</v>
      </c>
      <c r="AP55" s="379">
        <f t="shared" si="9"/>
        <v>0</v>
      </c>
      <c r="AQ55" s="379">
        <f t="shared" si="9"/>
        <v>0</v>
      </c>
      <c r="AR55" s="379">
        <f t="shared" si="9"/>
        <v>0</v>
      </c>
      <c r="AS55" s="379">
        <f t="shared" si="9"/>
        <v>0</v>
      </c>
      <c r="AT55" s="379">
        <f t="shared" si="9"/>
        <v>0</v>
      </c>
      <c r="AU55" s="379">
        <f t="shared" si="9"/>
        <v>0</v>
      </c>
      <c r="AV55" s="309"/>
      <c r="AW55" s="316"/>
    </row>
    <row r="56" spans="2:49" ht="11.85" customHeight="1" x14ac:dyDescent="0.2">
      <c r="B56" s="174" t="s">
        <v>120</v>
      </c>
      <c r="C56" s="135" t="s">
        <v>452</v>
      </c>
      <c r="D56" s="109">
        <v>38876</v>
      </c>
      <c r="E56" s="110">
        <v>38876</v>
      </c>
      <c r="F56" s="110"/>
      <c r="G56" s="110"/>
      <c r="H56" s="110"/>
      <c r="I56" s="109">
        <v>38876</v>
      </c>
      <c r="J56" s="109">
        <v>8412</v>
      </c>
      <c r="K56" s="110">
        <v>8412</v>
      </c>
      <c r="L56" s="110"/>
      <c r="M56" s="110"/>
      <c r="N56" s="110"/>
      <c r="O56" s="109">
        <v>8412</v>
      </c>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5"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v>23560.98</v>
      </c>
      <c r="E58" s="185">
        <v>23560.98</v>
      </c>
      <c r="F58" s="185"/>
      <c r="G58" s="185"/>
      <c r="H58" s="185"/>
      <c r="I58" s="184">
        <v>23560.98</v>
      </c>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0"/>
      <c r="B3" s="180" t="s">
        <v>354</v>
      </c>
      <c r="C3" s="165" t="s">
        <v>359</v>
      </c>
      <c r="D3" s="166" t="s">
        <v>360</v>
      </c>
      <c r="E3" s="166" t="s">
        <v>361</v>
      </c>
      <c r="F3" s="166" t="s">
        <v>362</v>
      </c>
      <c r="G3" s="167" t="s">
        <v>363</v>
      </c>
      <c r="H3" s="165" t="s">
        <v>364</v>
      </c>
      <c r="I3" s="166" t="s">
        <v>365</v>
      </c>
      <c r="J3" s="166" t="s">
        <v>366</v>
      </c>
      <c r="K3" s="166" t="s">
        <v>367</v>
      </c>
      <c r="L3" s="166" t="s">
        <v>368</v>
      </c>
      <c r="M3" s="165" t="s">
        <v>369</v>
      </c>
      <c r="N3" s="166" t="s">
        <v>370</v>
      </c>
      <c r="O3" s="166" t="s">
        <v>371</v>
      </c>
      <c r="P3" s="166" t="s">
        <v>372</v>
      </c>
      <c r="Q3" s="165" t="s">
        <v>373</v>
      </c>
      <c r="R3" s="166" t="s">
        <v>374</v>
      </c>
      <c r="S3" s="166" t="s">
        <v>375</v>
      </c>
      <c r="T3" s="166" t="s">
        <v>376</v>
      </c>
      <c r="U3" s="165" t="s">
        <v>377</v>
      </c>
      <c r="V3" s="166" t="s">
        <v>378</v>
      </c>
      <c r="W3" s="166" t="s">
        <v>379</v>
      </c>
      <c r="X3" s="166" t="s">
        <v>453</v>
      </c>
      <c r="Y3" s="165" t="s">
        <v>380</v>
      </c>
      <c r="Z3" s="166" t="s">
        <v>381</v>
      </c>
      <c r="AA3" s="166" t="s">
        <v>382</v>
      </c>
      <c r="AB3" s="166" t="s">
        <v>383</v>
      </c>
      <c r="AC3" s="165" t="s">
        <v>384</v>
      </c>
      <c r="AD3" s="166" t="s">
        <v>385</v>
      </c>
      <c r="AE3" s="166" t="s">
        <v>386</v>
      </c>
      <c r="AF3" s="166" t="s">
        <v>387</v>
      </c>
      <c r="AG3" s="165" t="s">
        <v>388</v>
      </c>
      <c r="AH3" s="166" t="s">
        <v>389</v>
      </c>
      <c r="AI3" s="166" t="s">
        <v>390</v>
      </c>
      <c r="AJ3" s="166" t="s">
        <v>391</v>
      </c>
      <c r="AK3" s="165" t="s">
        <v>392</v>
      </c>
      <c r="AL3" s="166" t="s">
        <v>393</v>
      </c>
      <c r="AM3" s="166"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0"/>
      <c r="B5" s="188"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0"/>
      <c r="B6" s="189" t="s">
        <v>311</v>
      </c>
      <c r="C6" s="109"/>
      <c r="D6" s="110"/>
      <c r="E6" s="115">
        <f>SUM('Pt 1 Summary of Data'!E$12,'Pt 1 Summary of Data'!E$22)+SUM('Pt 1 Summary of Data'!G$12,'Pt 1 Summary of Data'!G$22)-SUM('Pt 1 Summary of Data'!H$12,'Pt 1 Summary of Data'!H$22)</f>
        <v>1202727.2883005664</v>
      </c>
      <c r="F6" s="381">
        <f>SUM(C6:E6)</f>
        <v>1202727.2883005664</v>
      </c>
      <c r="G6" s="116">
        <f>SUM('Pt 1 Summary of Data'!I$12,'Pt 1 Summary of Data'!I$22)</f>
        <v>1202727.2883005664</v>
      </c>
      <c r="H6" s="109"/>
      <c r="I6" s="110"/>
      <c r="J6" s="115">
        <f>SUM('Pt 1 Summary of Data'!K$12,'Pt 1 Summary of Data'!K$22)+SUM('Pt 1 Summary of Data'!M$12,'Pt 1 Summary of Data'!M$22)-SUM('Pt 1 Summary of Data'!N$12,'Pt 1 Summary of Data'!N$22)</f>
        <v>453716.22169943352</v>
      </c>
      <c r="K6" s="381">
        <f>SUM(H6:J6)</f>
        <v>453716.22169943352</v>
      </c>
      <c r="L6" s="116">
        <f>SUM('Pt 1 Summary of Data'!O$12,'Pt 1 Summary of Data'!O$22)</f>
        <v>453716.22169943352</v>
      </c>
      <c r="M6" s="109"/>
      <c r="N6" s="110"/>
      <c r="O6" s="115">
        <f>SUM('Pt 1 Summary of Data'!Q$12,'Pt 1 Summary of Data'!Q$22)+SUM('Pt 1 Summary of Data'!S$12,'Pt 1 Summary of Data'!S$22)-SUM('Pt 1 Summary of Data'!T$12,'Pt 1 Summary of Data'!T$22)</f>
        <v>0</v>
      </c>
      <c r="P6" s="381">
        <f>SUM(M6:O6)</f>
        <v>0</v>
      </c>
      <c r="Q6" s="109"/>
      <c r="R6" s="110"/>
      <c r="S6" s="115">
        <f>SUM('Pt 1 Summary of Data'!V$12,'Pt 1 Summary of Data'!V$22)</f>
        <v>0</v>
      </c>
      <c r="T6" s="381">
        <f>SUM(Q6:S6)</f>
        <v>0</v>
      </c>
      <c r="U6" s="109"/>
      <c r="V6" s="110"/>
      <c r="W6" s="115">
        <f>SUM('Pt 1 Summary of Data'!Y$12,'Pt 1 Summary of Data'!Y$22)</f>
        <v>0</v>
      </c>
      <c r="X6" s="381">
        <f>SUM(U6:W6)</f>
        <v>0</v>
      </c>
      <c r="Y6" s="109"/>
      <c r="Z6" s="110"/>
      <c r="AA6" s="115">
        <f>SUM('Pt 1 Summary of Data'!AB$12,'Pt 1 Summary of Data'!AB$22)</f>
        <v>0</v>
      </c>
      <c r="AB6" s="381">
        <f>SUM(Y6:AA6)</f>
        <v>0</v>
      </c>
      <c r="AC6" s="290"/>
      <c r="AD6" s="286"/>
      <c r="AE6" s="286"/>
      <c r="AF6" s="286"/>
      <c r="AG6" s="290"/>
      <c r="AH6" s="286"/>
      <c r="AI6" s="286"/>
      <c r="AJ6" s="286"/>
      <c r="AK6" s="290"/>
      <c r="AL6" s="110"/>
      <c r="AM6" s="115"/>
      <c r="AN6" s="251"/>
    </row>
    <row r="7" spans="1:40" x14ac:dyDescent="0.2">
      <c r="B7" s="189"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518828.98937005573</v>
      </c>
      <c r="F7" s="381">
        <f>SUM(C7:E7)</f>
        <v>518828.98937005573</v>
      </c>
      <c r="G7" s="116">
        <f>SUM('Pt 1 Summary of Data'!I$37:I$41)+MAX(0,MIN('Pt 1 Summary of Data'!I$42,0.3%*('Pt 1 Summary of Data'!I$5-SUM(G$9:G$10))))</f>
        <v>529228.55711125571</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106722.59914162941</v>
      </c>
      <c r="K7" s="381">
        <f>SUM(H7:J7)</f>
        <v>106722.59914162941</v>
      </c>
      <c r="L7" s="116">
        <f>SUM('Pt 1 Summary of Data'!O$37:O$41)+MAX(0,MIN('Pt 1 Summary of Data'!O$42,0.3%*('Pt 1 Summary of Data'!O$5-L$10)))</f>
        <v>109334.56066282942</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381">
        <f>SUM(M7:O7)</f>
        <v>0</v>
      </c>
      <c r="Q7" s="109"/>
      <c r="R7" s="110"/>
      <c r="S7" s="115">
        <f>SUM('Pt 1 Summary of Data'!V$37:V$41)+MAX(0,MIN('Pt 1 Summary of Data'!V$42,0.3%*'Pt 1 Summary of Data'!V$5))</f>
        <v>0</v>
      </c>
      <c r="T7" s="381">
        <f>SUM(Q7:S7)</f>
        <v>0</v>
      </c>
      <c r="U7" s="109"/>
      <c r="V7" s="110"/>
      <c r="W7" s="115">
        <f>SUM('Pt 1 Summary of Data'!Y$37:Y$41)+MAX(0,MIN('Pt 1 Summary of Data'!Y$42,0.3%*'Pt 1 Summary of Data'!Y$5))</f>
        <v>0</v>
      </c>
      <c r="X7" s="381">
        <f>SUM(U7:W7)</f>
        <v>0</v>
      </c>
      <c r="Y7" s="109"/>
      <c r="Z7" s="110"/>
      <c r="AA7" s="115">
        <f>SUM('Pt 1 Summary of Data'!AB$37:AB$41)+MAX(0,MIN('Pt 1 Summary of Data'!AB$42,0.3%*'Pt 1 Summary of Data'!AB$5))</f>
        <v>0</v>
      </c>
      <c r="AB7" s="381">
        <f>SUM(Y7:AA7)</f>
        <v>0</v>
      </c>
      <c r="AC7" s="290"/>
      <c r="AD7" s="286"/>
      <c r="AE7" s="286"/>
      <c r="AF7" s="286"/>
      <c r="AG7" s="290"/>
      <c r="AH7" s="286"/>
      <c r="AI7" s="286"/>
      <c r="AJ7" s="286"/>
      <c r="AK7" s="290"/>
      <c r="AL7" s="110"/>
      <c r="AM7" s="115"/>
      <c r="AN7" s="251"/>
    </row>
    <row r="8" spans="1:40" x14ac:dyDescent="0.2">
      <c r="B8" s="189" t="s">
        <v>484</v>
      </c>
      <c r="C8" s="291"/>
      <c r="D8" s="287"/>
      <c r="E8" s="267">
        <v>23561</v>
      </c>
      <c r="F8" s="382">
        <v>23561</v>
      </c>
      <c r="G8" s="268">
        <v>23561</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25" thickBot="1" x14ac:dyDescent="0.25">
      <c r="B9" s="189" t="s">
        <v>315</v>
      </c>
      <c r="C9" s="290"/>
      <c r="D9" s="286"/>
      <c r="E9" s="381">
        <v>1167.5999999999999</v>
      </c>
      <c r="F9" s="381">
        <f>SUM(C9:E9)</f>
        <v>1167.5999999999999</v>
      </c>
      <c r="G9" s="384">
        <v>1167.5999999999999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25" thickTop="1" x14ac:dyDescent="0.2">
      <c r="B10" s="189" t="s">
        <v>316</v>
      </c>
      <c r="C10" s="290"/>
      <c r="D10" s="286"/>
      <c r="E10" s="115">
        <f>'Pt 2 Premium and Claims'!E$16+'Pt 2 Premium and Claims'!G$16-'Pt 2 Premium and Claims'!H$16</f>
        <v>-2592718.8092331649</v>
      </c>
      <c r="F10" s="381">
        <f t="shared" ref="F10" si="0">SUM(C10:E10)</f>
        <v>-2592718.8092331649</v>
      </c>
      <c r="G10" s="116">
        <f>'Pt 2 Premium and Claims'!I$16</f>
        <v>-2592718.8092331649</v>
      </c>
      <c r="H10" s="290"/>
      <c r="I10" s="286"/>
      <c r="J10" s="115">
        <f>'Pt 2 Premium and Claims'!K$16+'Pt 2 Premium and Claims'!M$16-'Pt 2 Premium and Claims'!N$16</f>
        <v>-471960.63430485508</v>
      </c>
      <c r="K10" s="385">
        <f>SUM(H10:J10)</f>
        <v>-471960.63430485508</v>
      </c>
      <c r="L10" s="116">
        <f>'Pt 2 Premium and Claims'!O$16</f>
        <v>-471960.63430485508</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f>'Pt 2 Premium and Claims'!E$17+'Pt 2 Premium and Claims'!G$17-'Pt 2 Premium and Claims'!H$17</f>
        <v>1138798</v>
      </c>
      <c r="F11" s="381">
        <f>SUM(C11:E11)</f>
        <v>1138798</v>
      </c>
      <c r="G11" s="312"/>
      <c r="H11" s="290"/>
      <c r="I11" s="286"/>
      <c r="J11" s="115">
        <f>'Pt 2 Premium and Claims'!K$17+'Pt 2 Premium and Claims'!M$17-'Pt 2 Premium and Claims'!N$17</f>
        <v>0</v>
      </c>
      <c r="K11" s="381">
        <f>SUM(H11:J11)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1"/>
      <c r="B12" s="190"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v>4166893</v>
      </c>
      <c r="F12" s="383">
        <f>IFERROR(SUM(C$12:E$12)+C$17*MAX(0,E$49-C$49)+D$17*MAX(0,E$49-D$49),0)</f>
        <v>4166893</v>
      </c>
      <c r="G12" s="309"/>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v>4166893</v>
      </c>
      <c r="K12" s="383">
        <f>IFERROR(SUM(H$12:J$12)+H$17*MAX(0,J$49-H$49)+I$17*MAX(0,J$49-I$49),0)</f>
        <v>4166893</v>
      </c>
      <c r="L12" s="309"/>
      <c r="M12" s="378">
        <f>SUM(M$6:M$7)</f>
        <v>0</v>
      </c>
      <c r="N12" s="381">
        <f>SUM(N$6:N$7)</f>
        <v>0</v>
      </c>
      <c r="O12" s="381">
        <f>SUM(O$6:O$7)</f>
        <v>0</v>
      </c>
      <c r="P12" s="381">
        <f>SUM(M$12:O$12)+M$17*MAX(0,O$49-M$49)+N$17*MAX(0,O$49-N$49)</f>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1"/>
      <c r="B13" s="190" t="s">
        <v>318</v>
      </c>
      <c r="C13" s="291"/>
      <c r="D13" s="287"/>
      <c r="E13" s="287"/>
      <c r="F13" s="287"/>
      <c r="G13" s="309"/>
      <c r="H13" s="291"/>
      <c r="I13" s="287"/>
      <c r="J13" s="287"/>
      <c r="K13" s="287"/>
      <c r="L13" s="309"/>
      <c r="M13" s="291"/>
      <c r="N13" s="287"/>
      <c r="O13" s="287"/>
      <c r="P13" s="287"/>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378">
        <f>1.75*SUM(Y$6:Y$7)</f>
        <v>0</v>
      </c>
      <c r="Z13" s="381">
        <f>1.5*SUM(Z$6:Z$7)</f>
        <v>0</v>
      </c>
      <c r="AA13" s="381">
        <f>1.25*SUM(AA$6:AA$7)</f>
        <v>0</v>
      </c>
      <c r="AB13" s="381">
        <f>1.25*(SUM(AB$6:AB$7)+Y$17*MAX(0,AA$49-Y$49)+Z$17*MAX(0,AA$49-Z$49))</f>
        <v>0</v>
      </c>
      <c r="AC13" s="290"/>
      <c r="AD13" s="286"/>
      <c r="AE13" s="286"/>
      <c r="AF13" s="286"/>
      <c r="AG13" s="290"/>
      <c r="AH13" s="286"/>
      <c r="AI13" s="286"/>
      <c r="AJ13" s="286"/>
      <c r="AK13" s="290"/>
      <c r="AL13" s="115"/>
      <c r="AM13" s="115"/>
      <c r="AN13" s="251"/>
    </row>
    <row r="14" spans="1:40" ht="17.25" thickBot="1" x14ac:dyDescent="0.3">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7" thickTop="1" thickBot="1" x14ac:dyDescent="0.25">
      <c r="B15" s="191" t="s">
        <v>487</v>
      </c>
      <c r="C15" s="117"/>
      <c r="D15" s="118"/>
      <c r="E15" s="106">
        <f>SUM('Pt 1 Summary of Data'!E$5:E$7)+SUM('Pt 1 Summary of Data'!G$5:G$7)-SUM('Pt 1 Summary of Data'!H$5:H$7)-SUM(E$9:E$11)+D$55</f>
        <v>3466522.1804</v>
      </c>
      <c r="F15" s="385">
        <f t="shared" ref="F15:F16" si="1">SUM(C15:E15)</f>
        <v>3466522.1804</v>
      </c>
      <c r="G15" s="107">
        <f>SUM('Pt 1 Summary of Data'!I$5:I$7)-SUM(G$9:G$10)</f>
        <v>3466522.5804000036</v>
      </c>
      <c r="H15" s="117"/>
      <c r="I15" s="118"/>
      <c r="J15" s="106">
        <f>SUM('Pt 1 Summary of Data'!K$5:K$7)+SUM('Pt 1 Summary of Data'!M$5:M$7)-SUM('Pt 1 Summary of Data'!N$5:N$7)-SUM(J$10:J$11)+I$55</f>
        <v>870653.84</v>
      </c>
      <c r="K15" s="385">
        <f>SUM(H15:J15)</f>
        <v>870653.84</v>
      </c>
      <c r="L15" s="107">
        <f>SUM('Pt 1 Summary of Data'!O$5:O$7)-L$10</f>
        <v>870653.84039999975</v>
      </c>
      <c r="M15" s="117"/>
      <c r="N15" s="118"/>
      <c r="O15" s="106">
        <f>SUM('Pt 1 Summary of Data'!Q$5:Q$7)+SUM('Pt 1 Summary of Data'!S$5:S$7)-SUM('Pt 1 Summary of Data'!T$5:T$7)+N$55</f>
        <v>0</v>
      </c>
      <c r="P15" s="385">
        <f>SUM(M15:O15)</f>
        <v>0</v>
      </c>
      <c r="Q15" s="117"/>
      <c r="R15" s="118"/>
      <c r="S15" s="106">
        <f>SUM('Pt 1 Summary of Data'!V$5:V$7)+R$55</f>
        <v>0</v>
      </c>
      <c r="T15" s="385">
        <f>SUM(Q15:S15)</f>
        <v>0</v>
      </c>
      <c r="U15" s="117"/>
      <c r="V15" s="118"/>
      <c r="W15" s="106">
        <f>SUM('Pt 1 Summary of Data'!Y$5:Y$7)+V$55</f>
        <v>0</v>
      </c>
      <c r="X15" s="385">
        <f>SUM(U15:W15)</f>
        <v>0</v>
      </c>
      <c r="Y15" s="117"/>
      <c r="Z15" s="118"/>
      <c r="AA15" s="106">
        <f>SUM('Pt 1 Summary of Data'!AB$5:AB$7)+Z$55</f>
        <v>0</v>
      </c>
      <c r="AB15" s="385">
        <f>SUM(Y15:AA15)</f>
        <v>0</v>
      </c>
      <c r="AC15" s="345"/>
      <c r="AD15" s="344"/>
      <c r="AE15" s="344"/>
      <c r="AF15" s="344"/>
      <c r="AG15" s="345"/>
      <c r="AH15" s="344"/>
      <c r="AI15" s="344"/>
      <c r="AJ15" s="344"/>
      <c r="AK15" s="345"/>
      <c r="AL15" s="118"/>
      <c r="AM15" s="106"/>
      <c r="AN15" s="252"/>
    </row>
    <row r="16" spans="1:40" ht="13.5" thickTop="1" x14ac:dyDescent="0.2">
      <c r="B16" s="189"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73339.459410939686</v>
      </c>
      <c r="F16" s="381">
        <f t="shared" si="1"/>
        <v>73339.459410939686</v>
      </c>
      <c r="G16" s="116">
        <f>SUM('Pt 1 Summary of Data'!I$25:I$28,'Pt 1 Summary of Data'!I$30,'Pt 1 Summary of Data'!I$34:I$35)+IF('Company Information'!$C$15="No",IF(MAX('Pt 1 Summary of Data'!I$31:I$32)=0,MIN('Pt 1 Summary of Data'!I$31:I$32),MAX('Pt 1 Summary of Data'!I$31:I$32)),SUM('Pt 1 Summary of Data'!I$31:I$32))</f>
        <v>73339.459410939686</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15058.430589060308</v>
      </c>
      <c r="K16" s="381">
        <f>SUM(H16:J16)</f>
        <v>15058.430589060308</v>
      </c>
      <c r="L16" s="116">
        <f>SUM('Pt 1 Summary of Data'!O$25:O$28,'Pt 1 Summary of Data'!O$30,'Pt 1 Summary of Data'!O$34:O$35)+IF('Company Information'!$C$15="No",IF(MAX('Pt 1 Summary of Data'!O$31:O$32)=0,MIN('Pt 1 Summary of Data'!O$31:O$32),MAX('Pt 1 Summary of Data'!O$31:O$32)),SUM('Pt 1 Summary of Data'!O$31:O$32))</f>
        <v>15058.160589060308</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381">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38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381">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381">
        <f>SUM(Y16:AA16)</f>
        <v>0</v>
      </c>
      <c r="AC16" s="290"/>
      <c r="AD16" s="286"/>
      <c r="AE16" s="286"/>
      <c r="AF16" s="286"/>
      <c r="AG16" s="290"/>
      <c r="AH16" s="286"/>
      <c r="AI16" s="286"/>
      <c r="AJ16" s="286"/>
      <c r="AK16" s="290"/>
      <c r="AL16" s="110"/>
      <c r="AM16" s="115"/>
      <c r="AN16" s="251"/>
    </row>
    <row r="17" spans="1:40" s="76" customFormat="1" x14ac:dyDescent="0.2">
      <c r="A17" s="141"/>
      <c r="B17" s="190"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v>4248778</v>
      </c>
      <c r="F17" s="115">
        <v>4248778</v>
      </c>
      <c r="G17" s="312"/>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v>4248778</v>
      </c>
      <c r="K17" s="115">
        <v>4248778</v>
      </c>
      <c r="L17" s="312"/>
      <c r="M17" s="378">
        <f>M$15-M$16</f>
        <v>0</v>
      </c>
      <c r="N17" s="378">
        <f t="shared" ref="N17:P17" si="2">N$15-N$16</f>
        <v>0</v>
      </c>
      <c r="O17" s="378">
        <f t="shared" si="2"/>
        <v>0</v>
      </c>
      <c r="P17" s="378">
        <f t="shared" si="2"/>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378">
        <f>Y$15-Y$16</f>
        <v>0</v>
      </c>
      <c r="Z17" s="378">
        <f t="shared" ref="Z17:AA17" si="3">Z$15-Z$16</f>
        <v>0</v>
      </c>
      <c r="AA17" s="378">
        <f t="shared" si="3"/>
        <v>0</v>
      </c>
      <c r="AB17" s="378">
        <f>AB$15-AB$16</f>
        <v>0</v>
      </c>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f>SUM(G$6:G$7)-SUM(G$8:G$10)+IF(AND(OR('[1]Company Information'!$C$12="District of Columbia",'[1]Company Information'!$C$12="Massachusetts",'[1]Company Information'!$C$12="Vermont"),SUM($G$6:$G$10,$G$15:$G$16)&lt;&gt;0),SUM(L$6:L$7)-L$10,0)</f>
        <v>5334957.4713121047</v>
      </c>
      <c r="H19" s="345"/>
      <c r="I19" s="344"/>
      <c r="J19" s="344"/>
      <c r="K19" s="344"/>
      <c r="L19" s="107">
        <f>+G19</f>
        <v>5334957.4713121047</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391">
        <f>SUM('[1]Pt 1 Summary of Data'!I$44:I$47,'[1]Pt 1 Summary of Data'!I$49:I$51)+IF(AND(OR('[1]Company Information'!$C$12="District of Columbia",'[1]Company Information'!$C$12="Massachusetts",'[1]Company Information'!$C$12="Vermont"),SUM($G$6:$G$10,$G$15:$G$16)&lt;&gt;0),SUM('[1]Pt 1 Summary of Data'!O$44:O$47,'[1]Pt 1 Summary of Data'!O$49:O$51),0)</f>
        <v>13226748</v>
      </c>
      <c r="H20" s="290"/>
      <c r="I20" s="286"/>
      <c r="J20" s="286"/>
      <c r="K20" s="286"/>
      <c r="L20" s="116">
        <f>+G20</f>
        <v>13226748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392">
        <f>IF(G$15-G$16+IF(AND(OR('[1]Company Information'!$C$12="District of Columbia",'[1]Company Information'!$C$12="Massachusetts",'[1]Company Information'!$C$12="Vermont"),SUM($G$6:$G$10,$G$15:$G$16)&lt;&gt;0),L$15-L$16,0)=0,0,G$19/(G$15-G$16+IF(AND(OR('[1]Company Information'!$C$12="District of Columbia",'[1]Company Information'!$C$12="Massachusetts",'[1]Company Information'!$C$12="Vermont"),SUM($G$6:$G$10,$G$15:$G$16)&lt;&gt;0),L$15-L$16,0)))</f>
        <v>1.2556449091460316</v>
      </c>
      <c r="H21" s="290"/>
      <c r="I21" s="286"/>
      <c r="J21" s="286"/>
      <c r="K21" s="286"/>
      <c r="L21" s="253">
        <f>+G21</f>
        <v>1.2556449091460316</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393">
        <v>0</v>
      </c>
      <c r="H22" s="290"/>
      <c r="I22" s="286"/>
      <c r="J22" s="286"/>
      <c r="K22" s="286"/>
      <c r="L22" s="137"/>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391">
        <f>MAX(MAX(0,G$24),MAX(0,G$25))</f>
        <v>127463.36402400008</v>
      </c>
      <c r="H23" s="290"/>
      <c r="I23" s="286"/>
      <c r="J23" s="286"/>
      <c r="K23" s="286"/>
      <c r="L23" s="116">
        <f t="shared" ref="L23:L30" si="4">+G23</f>
        <v>127463.36402400008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391">
        <f>G$15-G$19-G$16-G$20+IF(AND(OR('[1]Company Information'!$C$12="District of Columbia",'[1]Company Information'!$C$12="Massachusetts",'[1]Company Information'!$C$12="Vermont"),SUM($G$6:$G$10,$G$15:$G$16)&lt;&gt;0),L$15-L$16,0)</f>
        <v>-14312926.670512101</v>
      </c>
      <c r="H24" s="290"/>
      <c r="I24" s="286"/>
      <c r="J24" s="286"/>
      <c r="K24" s="286"/>
      <c r="L24" s="116">
        <f t="shared" si="4"/>
        <v>-14312926.670512101</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391">
        <f>(3%+G$22)*(G$15-G$16+IF(AND(OR('[1]Company Information'!$C$12="District of Columbia",'[1]Company Information'!$C$12="Massachusetts",'[1]Company Information'!$C$12="Vermont"),SUM($G$6:$G$10,$G$15:$G$16)&lt;&gt;0),L$15-L$16,0))</f>
        <v>127463.36402400008</v>
      </c>
      <c r="H25" s="290"/>
      <c r="I25" s="286"/>
      <c r="J25" s="286"/>
      <c r="K25" s="286"/>
      <c r="L25" s="116">
        <f t="shared" si="4"/>
        <v>127463.36402400008</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386">
        <f>MIN(MAX(0,G$27),MAX(0,G$28))</f>
        <v>938153.38016000064</v>
      </c>
      <c r="H26" s="290"/>
      <c r="I26" s="286"/>
      <c r="J26" s="286"/>
      <c r="K26" s="286"/>
      <c r="L26" s="116">
        <f t="shared" si="4"/>
        <v>938153.38016000064</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391">
        <f>G$20+G$23+G$16+IF(AND(OR('[1]Company Information'!$C$12="District of Columbia",'[1]Company Information'!$C$12="Massachusetts",'[1]Company Information'!$C$12="Vermont"),SUM($G$6:$G$10,$G$15:$G$16)&lt;&gt;0),L$16,0)</f>
        <v>13442608.984023999</v>
      </c>
      <c r="H27" s="290"/>
      <c r="I27" s="286"/>
      <c r="J27" s="286"/>
      <c r="K27" s="286"/>
      <c r="L27" s="116">
        <f t="shared" si="4"/>
        <v>13442608.984023999</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391">
        <f>(20%+G$22)*(G$15-G$16+IF(AND(OR('[1]Company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938153.38016000064</v>
      </c>
      <c r="H28" s="290"/>
      <c r="I28" s="286"/>
      <c r="J28" s="286"/>
      <c r="K28" s="286"/>
      <c r="L28" s="116">
        <f t="shared" si="4"/>
        <v>938153.38016000064</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391">
        <f>20%*(G$15-G$16+IF(AND(OR('[1]Company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938153.38016000064</v>
      </c>
      <c r="H29" s="290"/>
      <c r="I29" s="286"/>
      <c r="J29" s="286"/>
      <c r="K29" s="286"/>
      <c r="L29" s="116">
        <f t="shared" si="4"/>
        <v>938153.38016000064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391">
        <f>G$15+IF(AND(OR('[1]Company Information'!$C$12="District of Columbia",'[1]Company Information'!$C$12="Massachusetts",'[1]Company Information'!$C$12="Vermont"),SUM($G$6:$G$10,$G$15:$G$16)&lt;&gt;0),L$15,0)-G$26</f>
        <v>3399023.0406400026</v>
      </c>
      <c r="H30" s="290"/>
      <c r="I30" s="286"/>
      <c r="J30" s="286"/>
      <c r="K30" s="286"/>
      <c r="L30" s="116">
        <f t="shared" si="4"/>
        <v>3399023.0406400026</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391">
        <f>MIN(MAX(0,G$27),MAX(0,G$29))</f>
        <v>938153.38016000064</v>
      </c>
      <c r="H31" s="290"/>
      <c r="I31" s="286"/>
      <c r="J31" s="286"/>
      <c r="K31" s="286"/>
      <c r="L31" s="116">
        <f>MIN(MAX(0,L$27),MAX(0,L$29))</f>
        <v>938153.38016000064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391">
        <f>G$15+IF(AND(OR('[1]Company Information'!$C$12="District of Columbia",'[1]Company Information'!$C$12="Massachusetts",'[1]Company Information'!$C$12="Vermont"),SUM($G$6:$G$10,$G$15:$G$16)&lt;&gt;0),L$15,0)-G$31</f>
        <v>3399023.0406400026</v>
      </c>
      <c r="H32" s="290"/>
      <c r="I32" s="286"/>
      <c r="J32" s="286"/>
      <c r="K32" s="286"/>
      <c r="L32" s="116">
        <f>+G32</f>
        <v>3399023.0406400026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94">
        <f>IF(G$32=0,0,G$19/G$32)</f>
        <v>1.5695561364325394</v>
      </c>
      <c r="H33" s="352"/>
      <c r="I33" s="353"/>
      <c r="J33" s="353"/>
      <c r="K33" s="353"/>
      <c r="L33" s="387">
        <f>IF(L$32=0,0,L$19/L$32)</f>
        <v>1.5695561364325394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3"/>
    </row>
    <row r="34" spans="1:40" ht="25.5" x14ac:dyDescent="0.2">
      <c r="B34" s="193" t="s">
        <v>480</v>
      </c>
      <c r="C34" s="290"/>
      <c r="D34" s="286"/>
      <c r="E34" s="286"/>
      <c r="F34" s="286"/>
      <c r="G34" s="391">
        <v>3450422.6383950501</v>
      </c>
      <c r="H34" s="290"/>
      <c r="I34" s="286"/>
      <c r="J34" s="286"/>
      <c r="K34" s="286"/>
      <c r="L34" s="116" t="s">
        <v>499</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391">
        <v>3450422.6383950501</v>
      </c>
      <c r="H35" s="290"/>
      <c r="I35" s="286"/>
      <c r="J35" s="286"/>
      <c r="K35" s="286"/>
      <c r="L35" s="116" t="s">
        <v>499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v>1413</v>
      </c>
      <c r="F37" s="254">
        <f>SUM(C$37:E$37)+IF(AND(OR('Company Information'!$C$12="District of Columbia",'Company Information'!$C$12="Massachusetts",'Company Information'!$C$12="Vermont"),SUM($C$6:$F$11,$C$15:$F$16,$C$37:$D$37)&lt;&gt;0,SUM(C$37:D$37)&lt;&gt;SUM(H$37:I$37)),SUM(H$37:I$37),0)</f>
        <v>1413</v>
      </c>
      <c r="G37" s="310"/>
      <c r="H37" s="121"/>
      <c r="I37" s="122"/>
      <c r="J37" s="254">
        <f>+E37</f>
        <v>1413</v>
      </c>
      <c r="K37" s="254">
        <f>SUM(H$37:J$37)+IF(AND(OR('Company Information'!$C$12="District of Columbia",'Company Information'!$C$12="Massachusetts",'Company Information'!$C$12="Vermont"),SUM($H$6:$K$11,$H$15:$K$16,$H$37:$I$37)&lt;&gt;0,SUM(H$37:I$37)&lt;&gt;SUM(C$37:D$37)),SUM(C$37:D$37),0)</f>
        <v>1413</v>
      </c>
      <c r="L37" s="310"/>
      <c r="M37" s="121"/>
      <c r="N37" s="122"/>
      <c r="O37" s="254">
        <f>('Pt 1 Summary of Data'!Q$59+'Pt 1 Summary of Data'!S$59-'Pt 1 Summary of Data'!T$59)/12</f>
        <v>0</v>
      </c>
      <c r="P37" s="390">
        <f>SUM(M$37:O$37)</f>
        <v>0</v>
      </c>
      <c r="Q37" s="121"/>
      <c r="R37" s="122"/>
      <c r="S37" s="254">
        <f>'Pt 1 Summary of Data'!V$59/12+IF(AND(OR('Company Information'!$C$12="District of Columbia",'Company Information'!$C$12="Massachusetts",'Company Information'!$C$12="Vermont"),SUM($Q$6:$T$7,$Q$15:$T$16,$Q$37:$R$37)&lt;&gt;0),'Pt 1 Summary of Data'!Y$59,0)/12</f>
        <v>0</v>
      </c>
      <c r="T37" s="254">
        <f>SUM(Q$37:S$37)+IF(AND(OR('Company Information'!$C$12="District of Columbia",'Company Information'!$C$12="Massachusetts",'Company Information'!$C$12="Vermont"),SUM($Q$6:$T$7,$Q$15:$T$16,$Q$37:$R$37)&lt;&gt;0,SUM(Q$37:R$37)&lt;&gt;SUM(U$37:V$37)),SUM(U$37:V$37),0)</f>
        <v>0</v>
      </c>
      <c r="U37" s="121"/>
      <c r="V37" s="122"/>
      <c r="W37" s="254">
        <f>'Pt 1 Summary of Data'!Y$59/12+IF(AND(OR('Company Information'!$C$12="District of Columbia",'Company Information'!$C$12="Massachusetts",'Company Information'!$C$12="Vermont"),SUM($U$6:$X$7,$U$15:$X$16,$U$37:$V$37)&lt;&gt;0),'Pt 1 Summary of Data'!V$59,0)/12</f>
        <v>0</v>
      </c>
      <c r="X37" s="254">
        <f>SUM(U$37:W$37)+IF(AND(OR('Company Information'!$C$12="District of Columbia",'Company Information'!$C$12="Massachusetts",'Company Information'!$C$12="Vermont"),SUM($U$6:$X$7,$U$15:$X$16,$U$37:$V$37)&lt;&gt;0,SUM(U$37:V$37)&lt;&gt;SUM(Q$37:R$37)),SUM(Q$37:R$37),0)</f>
        <v>0</v>
      </c>
      <c r="Y37" s="121"/>
      <c r="Z37" s="122"/>
      <c r="AA37" s="254">
        <f>'Pt 1 Summary of Data'!AB$59/12</f>
        <v>0</v>
      </c>
      <c r="AB37" s="390">
        <f>SUM(Y$37:AA$37)</f>
        <v>0</v>
      </c>
      <c r="AC37" s="345"/>
      <c r="AD37" s="344"/>
      <c r="AE37" s="344"/>
      <c r="AF37" s="344"/>
      <c r="AG37" s="345"/>
      <c r="AH37" s="344"/>
      <c r="AI37" s="344"/>
      <c r="AJ37" s="344"/>
      <c r="AK37" s="345"/>
      <c r="AL37" s="122"/>
      <c r="AM37" s="254"/>
      <c r="AN37" s="255"/>
    </row>
    <row r="38" spans="1:40" x14ac:dyDescent="0.2">
      <c r="B38" s="189" t="s">
        <v>322</v>
      </c>
      <c r="C38" s="349"/>
      <c r="D38" s="350"/>
      <c r="E38" s="350"/>
      <c r="F38" s="265">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7.4464666666666665E-2</v>
      </c>
      <c r="G38" s="351"/>
      <c r="H38" s="349"/>
      <c r="I38" s="350"/>
      <c r="J38" s="350"/>
      <c r="K38" s="265">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7.4464666666666665E-2</v>
      </c>
      <c r="L38" s="351"/>
      <c r="M38" s="349"/>
      <c r="N38" s="350"/>
      <c r="O38" s="350"/>
      <c r="P38" s="265">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49"/>
      <c r="R38" s="350"/>
      <c r="S38" s="350"/>
      <c r="T38" s="265">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49"/>
      <c r="V38" s="350"/>
      <c r="W38" s="350"/>
      <c r="X38" s="265">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49"/>
      <c r="Z38" s="350"/>
      <c r="AA38" s="350"/>
      <c r="AB38" s="265">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2"/>
      <c r="B40" s="189" t="s">
        <v>324</v>
      </c>
      <c r="C40" s="290"/>
      <c r="D40" s="286"/>
      <c r="E40" s="286"/>
      <c r="F40" s="256">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09"/>
      <c r="H40" s="290"/>
      <c r="I40" s="286"/>
      <c r="J40" s="286"/>
      <c r="K40" s="256">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09"/>
      <c r="M40" s="290"/>
      <c r="N40" s="286"/>
      <c r="O40" s="286"/>
      <c r="P40" s="256">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0"/>
      <c r="R40" s="286"/>
      <c r="S40" s="286"/>
      <c r="T40" s="256">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0"/>
      <c r="V40" s="286"/>
      <c r="W40" s="286"/>
      <c r="X40" s="256">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0"/>
      <c r="Z40" s="286"/>
      <c r="AA40" s="286"/>
      <c r="AB40" s="256">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0"/>
      <c r="AD40" s="286"/>
      <c r="AE40" s="286"/>
      <c r="AF40" s="286"/>
      <c r="AG40" s="290"/>
      <c r="AH40" s="286"/>
      <c r="AI40" s="286"/>
      <c r="AJ40" s="286"/>
      <c r="AK40" s="290"/>
      <c r="AL40" s="286"/>
      <c r="AM40" s="286"/>
      <c r="AN40" s="257"/>
    </row>
    <row r="41" spans="1:40" x14ac:dyDescent="0.2">
      <c r="B41" s="189" t="s">
        <v>325</v>
      </c>
      <c r="C41" s="290"/>
      <c r="D41" s="286"/>
      <c r="E41" s="286"/>
      <c r="F41" s="258">
        <f ca="1">IF(OR(F$37&lt;1000,F$37&gt;=75000),0,F$38*F$40)</f>
        <v>7.4464666666666665E-2</v>
      </c>
      <c r="G41" s="309"/>
      <c r="H41" s="290"/>
      <c r="I41" s="286"/>
      <c r="J41" s="286"/>
      <c r="K41" s="258">
        <f ca="1">IF(OR(K$37&lt;1000,K$37&gt;=75000),0,K$38*K$40)</f>
        <v>7.4464666666666665E-2</v>
      </c>
      <c r="L41" s="309"/>
      <c r="M41" s="290"/>
      <c r="N41" s="286"/>
      <c r="O41" s="286"/>
      <c r="P41" s="258">
        <f>IF(OR(P$37&lt;1000,P$37&gt;=75000),0,P$38*P$40)</f>
        <v>0</v>
      </c>
      <c r="Q41" s="290"/>
      <c r="R41" s="286"/>
      <c r="S41" s="286"/>
      <c r="T41" s="258">
        <f>IF(OR(T$37&lt;1000,T$37&gt;=75000),0,T$38*T$40)</f>
        <v>0</v>
      </c>
      <c r="U41" s="290"/>
      <c r="V41" s="286"/>
      <c r="W41" s="286"/>
      <c r="X41" s="258">
        <f>IF(OR(X$37&lt;1000,X$37&gt;=75000),0,X$38*X$40)</f>
        <v>0</v>
      </c>
      <c r="Y41" s="290"/>
      <c r="Z41" s="286"/>
      <c r="AA41" s="286"/>
      <c r="AB41" s="389">
        <f>IF(OR(AB$37&lt;1000,AB$37&gt;=75000),0,AB$38*AB$40)</f>
        <v>0</v>
      </c>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t="str">
        <f>IF(OR(C$37&lt;1000,C$17&lt;=0),"",C$12/C$17)</f>
        <v/>
      </c>
      <c r="D44" s="260" t="str">
        <f t="shared" ref="D44:E44" si="5">IF(OR(D$37&lt;1000,D$17&lt;=0),"",D$12/D$17)</f>
        <v/>
      </c>
      <c r="E44" s="260">
        <f t="shared" si="5"/>
        <v>0.98072739973705381</v>
      </c>
      <c r="F44" s="260">
        <f>IF(OR(F$37&lt;1000,F$17&lt;=0),"",F$12/F$17)</f>
        <v>0.98072739973705381</v>
      </c>
      <c r="G44" s="309"/>
      <c r="H44" s="388" t="str">
        <f>IF(OR(H$37&lt;1000,H$17&lt;=0),"",H$12/H$17)</f>
        <v/>
      </c>
      <c r="I44" s="389" t="str">
        <f>IF(OR(I$37&lt;1000,I$17&lt;=0),"",I$12/I$17)</f>
        <v/>
      </c>
      <c r="J44" s="389">
        <f t="shared" ref="J44:K44" si="6">IF(OR(J$37&lt;1000,J$17&lt;=0),"",J$12/J$17)</f>
        <v>0.98072739973705381</v>
      </c>
      <c r="K44" s="389">
        <f t="shared" si="6"/>
        <v>0.98072739973705381</v>
      </c>
      <c r="L44" s="309"/>
      <c r="M44" s="388" t="str">
        <f>IF(OR(M$37&lt;1000,M$17&lt;=0),"",M$12/M$17)</f>
        <v/>
      </c>
      <c r="N44" s="388" t="str">
        <f t="shared" ref="N44:P44" si="7">IF(OR(N$37&lt;1000,N$17&lt;=0),"",N$12/N$17)</f>
        <v/>
      </c>
      <c r="O44" s="388" t="str">
        <f t="shared" si="7"/>
        <v/>
      </c>
      <c r="P44" s="388" t="str">
        <f t="shared" si="7"/>
        <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388" t="str">
        <f>IF(OR(Q$37&lt;1000,Q$17&lt;=0),"",Q$13/Q$17)</f>
        <v/>
      </c>
      <c r="R45" s="388" t="str">
        <f t="shared" ref="R45:T45" si="8">IF(OR(R$37&lt;1000,R$17&lt;=0),"",R$13/R$17)</f>
        <v/>
      </c>
      <c r="S45" s="388" t="str">
        <f t="shared" si="8"/>
        <v/>
      </c>
      <c r="T45" s="388" t="str">
        <f t="shared" si="8"/>
        <v/>
      </c>
      <c r="U45" s="388" t="str">
        <f>IF(OR(U$37&lt;1000,U$17&lt;=0),"",U$13/U$17)</f>
        <v/>
      </c>
      <c r="V45" s="388" t="str">
        <f t="shared" ref="V45:X45" si="9">IF(OR(V$37&lt;1000,V$17&lt;=0),"",V$13/V$17)</f>
        <v/>
      </c>
      <c r="W45" s="388" t="str">
        <f t="shared" si="9"/>
        <v/>
      </c>
      <c r="X45" s="388" t="str">
        <f t="shared" si="9"/>
        <v/>
      </c>
      <c r="Y45" s="388" t="str">
        <f>IF(OR(Y$37&lt;1000,Y$17&lt;=0),"",Y$13/Y$17)</f>
        <v/>
      </c>
      <c r="Z45" s="388" t="str">
        <f t="shared" ref="Z45:AB45" si="10">IF(OR(Z$37&lt;1000,Z$17&lt;=0),"",Z$13/Z$17)</f>
        <v/>
      </c>
      <c r="AA45" s="388" t="str">
        <f t="shared" si="10"/>
        <v/>
      </c>
      <c r="AB45" s="388" t="str">
        <f t="shared" si="10"/>
        <v/>
      </c>
      <c r="AC45" s="290"/>
      <c r="AD45" s="286"/>
      <c r="AE45" s="286"/>
      <c r="AF45" s="286"/>
      <c r="AG45" s="290"/>
      <c r="AH45" s="286"/>
      <c r="AI45" s="286"/>
      <c r="AJ45" s="286"/>
      <c r="AK45" s="290"/>
      <c r="AL45" s="258"/>
      <c r="AM45" s="258"/>
      <c r="AN45" s="259"/>
    </row>
    <row r="46" spans="1:40" x14ac:dyDescent="0.2">
      <c r="B46" s="195" t="s">
        <v>330</v>
      </c>
      <c r="C46" s="290"/>
      <c r="D46" s="286"/>
      <c r="E46" s="286"/>
      <c r="F46" s="258">
        <f ca="1">IF(F$44="","",F$41)</f>
        <v>7.4464666666666665E-2</v>
      </c>
      <c r="G46" s="309"/>
      <c r="H46" s="290"/>
      <c r="I46" s="286"/>
      <c r="J46" s="286"/>
      <c r="K46" s="389">
        <f ca="1">IF(K$44="","",K$41)</f>
        <v>7.4464666666666665E-2</v>
      </c>
      <c r="L46" s="309"/>
      <c r="M46" s="290"/>
      <c r="N46" s="286"/>
      <c r="O46" s="286"/>
      <c r="P46" s="389" t="str">
        <f>IF(P$44="","",P$41)</f>
        <v/>
      </c>
      <c r="Q46" s="291"/>
      <c r="R46" s="287"/>
      <c r="S46" s="287"/>
      <c r="T46" s="389" t="str">
        <f>IF(T$45="","",T$41)</f>
        <v/>
      </c>
      <c r="U46" s="291"/>
      <c r="V46" s="287"/>
      <c r="W46" s="287"/>
      <c r="X46" s="389" t="str">
        <f>IF(X$45="","",X$41)</f>
        <v/>
      </c>
      <c r="Y46" s="291"/>
      <c r="Z46" s="287"/>
      <c r="AA46" s="287"/>
      <c r="AB46" s="389" t="str">
        <f>IF(AB$45="","",AB$41)</f>
        <v/>
      </c>
      <c r="AC46" s="290"/>
      <c r="AD46" s="286"/>
      <c r="AE46" s="286"/>
      <c r="AF46" s="286"/>
      <c r="AG46" s="290"/>
      <c r="AH46" s="286"/>
      <c r="AI46" s="286"/>
      <c r="AJ46" s="286"/>
      <c r="AK46" s="290"/>
      <c r="AL46" s="287"/>
      <c r="AM46" s="287"/>
      <c r="AN46" s="259"/>
    </row>
    <row r="47" spans="1:40" s="76" customFormat="1" x14ac:dyDescent="0.2">
      <c r="A47" s="141"/>
      <c r="B47" s="197" t="s">
        <v>329</v>
      </c>
      <c r="C47" s="290"/>
      <c r="D47" s="286"/>
      <c r="E47" s="286"/>
      <c r="F47" s="258">
        <f ca="1">IF(F$44="","",ROUND(F$44+MAX(0,F$46),3))</f>
        <v>1.0549999999999999</v>
      </c>
      <c r="G47" s="309"/>
      <c r="H47" s="290"/>
      <c r="I47" s="286"/>
      <c r="J47" s="286"/>
      <c r="K47" s="389">
        <f ca="1">IF(K$44="","",ROUND(K$44+MAX(0,K$46),3))</f>
        <v>1.0549999999999999</v>
      </c>
      <c r="L47" s="309"/>
      <c r="M47" s="290"/>
      <c r="N47" s="286"/>
      <c r="O47" s="286"/>
      <c r="P47" s="389" t="str">
        <f>IF(P$44="","",ROUND(P$44+MAX(0,P$46),3))</f>
        <v/>
      </c>
      <c r="Q47" s="290"/>
      <c r="R47" s="286"/>
      <c r="S47" s="286"/>
      <c r="T47" s="389" t="str">
        <f>IF(T$45="","",ROUND(T$45+MAX(0,T$46),3))</f>
        <v/>
      </c>
      <c r="U47" s="290"/>
      <c r="V47" s="286"/>
      <c r="W47" s="286"/>
      <c r="X47" s="389" t="str">
        <f>IF(X$45="","",ROUND(X$45+MAX(0,X$46),3))</f>
        <v/>
      </c>
      <c r="Y47" s="290"/>
      <c r="Z47" s="286"/>
      <c r="AA47" s="286"/>
      <c r="AB47" s="389" t="str">
        <f>IF(AB$45="","",ROUND(AB$45+MAX(0,AB$46),3))</f>
        <v/>
      </c>
      <c r="AC47" s="290"/>
      <c r="AD47" s="286"/>
      <c r="AE47" s="286"/>
      <c r="AF47" s="286"/>
      <c r="AG47" s="290"/>
      <c r="AH47" s="286"/>
      <c r="AI47" s="286"/>
      <c r="AJ47" s="286"/>
      <c r="AK47" s="290"/>
      <c r="AL47" s="286"/>
      <c r="AM47" s="286"/>
      <c r="AN47" s="259"/>
    </row>
    <row r="48" spans="1:40" s="9" customFormat="1" ht="16.5" x14ac:dyDescent="0.25">
      <c r="A48" s="140"/>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38">
        <v>0.9</v>
      </c>
      <c r="D49" s="139">
        <v>0.9</v>
      </c>
      <c r="E49" s="139">
        <v>0.89</v>
      </c>
      <c r="F49" s="139">
        <v>0.89</v>
      </c>
      <c r="G49" s="310"/>
      <c r="H49" s="138">
        <v>0.9</v>
      </c>
      <c r="I49" s="139">
        <v>0.9</v>
      </c>
      <c r="J49" s="139">
        <v>0.89</v>
      </c>
      <c r="K49" s="139">
        <v>0.89</v>
      </c>
      <c r="L49" s="310"/>
      <c r="M49" s="138">
        <v>0.85</v>
      </c>
      <c r="N49" s="139">
        <v>0.85</v>
      </c>
      <c r="O49" s="139">
        <v>0.85</v>
      </c>
      <c r="P49" s="139">
        <v>0.85</v>
      </c>
      <c r="Q49" s="138">
        <v>0.9</v>
      </c>
      <c r="R49" s="139">
        <v>0.9</v>
      </c>
      <c r="S49" s="139">
        <v>0.89</v>
      </c>
      <c r="T49" s="139">
        <v>0.89</v>
      </c>
      <c r="U49" s="138">
        <v>0.9</v>
      </c>
      <c r="V49" s="139">
        <v>0.9</v>
      </c>
      <c r="W49" s="139">
        <v>0.89</v>
      </c>
      <c r="X49" s="139">
        <v>0.89</v>
      </c>
      <c r="Y49" s="138">
        <v>0.85</v>
      </c>
      <c r="Z49" s="139">
        <v>0.85</v>
      </c>
      <c r="AA49" s="139">
        <v>0.85</v>
      </c>
      <c r="AB49" s="139">
        <v>0.85</v>
      </c>
      <c r="AC49" s="345"/>
      <c r="AD49" s="344"/>
      <c r="AE49" s="344"/>
      <c r="AF49" s="344"/>
      <c r="AG49" s="345"/>
      <c r="AH49" s="344"/>
      <c r="AI49" s="344"/>
      <c r="AJ49" s="344"/>
      <c r="AK49" s="345"/>
      <c r="AL49" s="139"/>
      <c r="AM49" s="139"/>
      <c r="AN49" s="200"/>
    </row>
    <row r="50" spans="1:40" s="9" customFormat="1" x14ac:dyDescent="0.2">
      <c r="A50" s="140"/>
      <c r="B50" s="195" t="s">
        <v>333</v>
      </c>
      <c r="C50" s="291"/>
      <c r="D50" s="287"/>
      <c r="E50" s="287"/>
      <c r="F50" s="258">
        <f ca="1">F$47</f>
        <v>1.0549999999999999</v>
      </c>
      <c r="G50" s="309"/>
      <c r="H50" s="291"/>
      <c r="I50" s="287"/>
      <c r="J50" s="287"/>
      <c r="K50" s="389">
        <f ca="1">K$47</f>
        <v>1.0549999999999999</v>
      </c>
      <c r="L50" s="309"/>
      <c r="M50" s="291"/>
      <c r="N50" s="287"/>
      <c r="O50" s="287"/>
      <c r="P50" s="389" t="str">
        <f>P$47</f>
        <v/>
      </c>
      <c r="Q50" s="291"/>
      <c r="R50" s="287"/>
      <c r="S50" s="287"/>
      <c r="T50" s="389" t="str">
        <f>T$47</f>
        <v/>
      </c>
      <c r="U50" s="291"/>
      <c r="V50" s="287"/>
      <c r="W50" s="287"/>
      <c r="X50" s="389" t="str">
        <f>X$47</f>
        <v/>
      </c>
      <c r="Y50" s="291"/>
      <c r="Z50" s="287"/>
      <c r="AA50" s="287"/>
      <c r="AB50" s="389" t="str">
        <f>AB$47</f>
        <v/>
      </c>
      <c r="AC50" s="290"/>
      <c r="AD50" s="286"/>
      <c r="AE50" s="286"/>
      <c r="AF50" s="286"/>
      <c r="AG50" s="290"/>
      <c r="AH50" s="286"/>
      <c r="AI50" s="286"/>
      <c r="AJ50" s="286"/>
      <c r="AK50" s="290"/>
      <c r="AL50" s="287"/>
      <c r="AM50" s="287"/>
      <c r="AN50" s="259"/>
    </row>
    <row r="51" spans="1:40" x14ac:dyDescent="0.2">
      <c r="B51" s="193" t="s">
        <v>334</v>
      </c>
      <c r="C51" s="290"/>
      <c r="D51" s="286"/>
      <c r="E51" s="286"/>
      <c r="F51" s="115">
        <f>IF(F$37&lt;1000,"",MAX(0,E$15-E$16))</f>
        <v>3393182.7209890601</v>
      </c>
      <c r="G51" s="309"/>
      <c r="H51" s="290"/>
      <c r="I51" s="286"/>
      <c r="J51" s="286"/>
      <c r="K51" s="381">
        <f>IF(K$37&lt;1000,"",MAX(0,J$15-J$16))</f>
        <v>855595.40941093967</v>
      </c>
      <c r="L51" s="309"/>
      <c r="M51" s="290"/>
      <c r="N51" s="286"/>
      <c r="O51" s="286"/>
      <c r="P51" s="381" t="str">
        <f>IF(P$37&lt;1000,"",MAX(0,O$15-O$16))</f>
        <v/>
      </c>
      <c r="Q51" s="290"/>
      <c r="R51" s="286"/>
      <c r="S51" s="286"/>
      <c r="T51" s="381" t="str">
        <f>IF(T$37&lt;1000,"",MAX(0,S$15-S$16))</f>
        <v/>
      </c>
      <c r="U51" s="290"/>
      <c r="V51" s="286"/>
      <c r="W51" s="286"/>
      <c r="X51" s="381" t="str">
        <f>IF(X$37&lt;1000,"",MAX(0,W$15-W$16))</f>
        <v/>
      </c>
      <c r="Y51" s="290"/>
      <c r="Z51" s="286"/>
      <c r="AA51" s="286"/>
      <c r="AB51" s="381" t="str">
        <f>IF(AB$37&lt;1000,"",MAX(0,AA$15-AA$16))</f>
        <v/>
      </c>
      <c r="AC51" s="290"/>
      <c r="AD51" s="286"/>
      <c r="AE51" s="286"/>
      <c r="AF51" s="286"/>
      <c r="AG51" s="290"/>
      <c r="AH51" s="286"/>
      <c r="AI51" s="286"/>
      <c r="AJ51" s="286"/>
      <c r="AK51" s="290"/>
      <c r="AL51" s="286"/>
      <c r="AM51" s="286"/>
      <c r="AN51" s="251"/>
    </row>
    <row r="52" spans="1:40" s="76" customFormat="1" ht="26.25" customHeight="1" x14ac:dyDescent="0.2">
      <c r="A52" s="141"/>
      <c r="B52" s="190" t="s">
        <v>335</v>
      </c>
      <c r="C52" s="290"/>
      <c r="D52" s="286"/>
      <c r="E52" s="286"/>
      <c r="F52" s="115">
        <f ca="1">IF(OR(F$37&lt;1000,F$17&lt;=0),0,MAX(0,F$49-F$50)*F$51)</f>
        <v>0</v>
      </c>
      <c r="G52" s="309"/>
      <c r="H52" s="290"/>
      <c r="I52" s="286"/>
      <c r="J52" s="286"/>
      <c r="K52" s="381">
        <f ca="1">IF(OR(K$37&lt;1000,K$17&lt;=0),0,MAX(0,K$49-K$50)*K$51)</f>
        <v>0</v>
      </c>
      <c r="L52" s="309"/>
      <c r="M52" s="290"/>
      <c r="N52" s="286"/>
      <c r="O52" s="286"/>
      <c r="P52" s="381">
        <f>IF(OR(P$37&lt;1000,P$17&lt;=0),0,MAX(0,P$49-P$50)*P$51)</f>
        <v>0</v>
      </c>
      <c r="Q52" s="290"/>
      <c r="R52" s="286"/>
      <c r="S52" s="286"/>
      <c r="T52" s="381">
        <f>IF(OR(T$37&lt;1000,T$17&lt;=0),0,MAX(0,T$49-T$50)*T$51)</f>
        <v>0</v>
      </c>
      <c r="U52" s="290"/>
      <c r="V52" s="286"/>
      <c r="W52" s="286"/>
      <c r="X52" s="381">
        <f>IF(OR(X$37&lt;1000,X$17&lt;=0),0,MAX(0,X$49-X$50)*X$51)</f>
        <v>0</v>
      </c>
      <c r="Y52" s="290"/>
      <c r="Z52" s="286"/>
      <c r="AA52" s="286"/>
      <c r="AB52" s="381">
        <f>IF(OR(AB$37&lt;1000,AB$17&lt;=0),0,MAX(0,AB$49-AB$50)*AB$51)</f>
        <v>0</v>
      </c>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4"/>
    </row>
    <row r="66" spans="1:14" hidden="1" x14ac:dyDescent="0.2"/>
    <row r="67" spans="1:14" hidden="1" x14ac:dyDescent="0.2"/>
    <row r="68" spans="1:14" hidden="1" x14ac:dyDescent="0.2">
      <c r="B68" s="145"/>
    </row>
    <row r="69" spans="1:14" ht="12.75" hidden="1" customHeight="1" x14ac:dyDescent="0.2">
      <c r="B69" s="144"/>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G22">
    <cfRule type="cellIs" dxfId="12" priority="1" stopIfTrue="1" operator="lessThan">
      <formula>0</formula>
    </cfRule>
  </conditionalFormatting>
  <dataValidations xWindow="759" yWindow="68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3" t="s">
        <v>354</v>
      </c>
      <c r="C3" s="165" t="s">
        <v>396</v>
      </c>
      <c r="D3" s="167" t="s">
        <v>397</v>
      </c>
      <c r="E3" s="167" t="s">
        <v>398</v>
      </c>
      <c r="F3" s="167" t="s">
        <v>399</v>
      </c>
      <c r="G3" s="167" t="s">
        <v>400</v>
      </c>
      <c r="H3" s="167" t="s">
        <v>401</v>
      </c>
      <c r="I3" s="167" t="s">
        <v>402</v>
      </c>
      <c r="J3" s="166" t="s">
        <v>403</v>
      </c>
      <c r="K3" s="208" t="s">
        <v>404</v>
      </c>
    </row>
    <row r="4" spans="2:11" s="5" customFormat="1" ht="16.5" x14ac:dyDescent="0.25">
      <c r="B4" s="203" t="s">
        <v>347</v>
      </c>
      <c r="C4" s="146">
        <v>1636</v>
      </c>
      <c r="D4" s="147">
        <v>252</v>
      </c>
      <c r="E4" s="147">
        <v>0</v>
      </c>
      <c r="F4" s="147">
        <v>0</v>
      </c>
      <c r="G4" s="147">
        <v>0</v>
      </c>
      <c r="H4" s="147">
        <v>0</v>
      </c>
      <c r="I4" s="362"/>
      <c r="J4" s="362"/>
      <c r="K4" s="206">
        <v>0</v>
      </c>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3" t="s">
        <v>102</v>
      </c>
      <c r="C7" s="124"/>
      <c r="D7" s="126"/>
      <c r="E7" s="126"/>
      <c r="F7" s="126"/>
      <c r="G7" s="126"/>
      <c r="H7" s="126"/>
      <c r="I7" s="372"/>
      <c r="J7" s="372"/>
      <c r="K7" s="207"/>
    </row>
    <row r="8" spans="2:11" x14ac:dyDescent="0.2">
      <c r="B8" s="153" t="s">
        <v>103</v>
      </c>
      <c r="C8" s="359"/>
      <c r="D8" s="126"/>
      <c r="E8" s="126"/>
      <c r="F8" s="362"/>
      <c r="G8" s="126"/>
      <c r="H8" s="126"/>
      <c r="I8" s="372"/>
      <c r="J8" s="372"/>
      <c r="K8" s="371"/>
    </row>
    <row r="9" spans="2:11" ht="13.15" customHeight="1" x14ac:dyDescent="0.2">
      <c r="B9" s="153"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v>0</v>
      </c>
      <c r="D11" s="119">
        <v>0</v>
      </c>
      <c r="E11" s="119">
        <v>0</v>
      </c>
      <c r="F11" s="119">
        <v>0</v>
      </c>
      <c r="G11" s="119">
        <v>0</v>
      </c>
      <c r="H11" s="119">
        <v>0</v>
      </c>
      <c r="I11" s="310"/>
      <c r="J11" s="310"/>
      <c r="K11" s="363">
        <v>0</v>
      </c>
    </row>
    <row r="12" spans="2:11" x14ac:dyDescent="0.2">
      <c r="B12" s="205" t="s">
        <v>93</v>
      </c>
      <c r="C12" s="109"/>
      <c r="D12" s="113"/>
      <c r="E12" s="113"/>
      <c r="F12" s="113"/>
      <c r="G12" s="113"/>
      <c r="H12" s="113"/>
      <c r="I12" s="309"/>
      <c r="J12" s="309"/>
      <c r="K12" s="364"/>
    </row>
    <row r="13" spans="2:11" x14ac:dyDescent="0.2">
      <c r="B13" s="205" t="s">
        <v>94</v>
      </c>
      <c r="C13" s="109"/>
      <c r="D13" s="113"/>
      <c r="E13" s="113"/>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3" t="s">
        <v>207</v>
      </c>
      <c r="C18" s="367"/>
      <c r="D18" s="137"/>
      <c r="E18" s="137"/>
      <c r="F18" s="137"/>
      <c r="G18" s="137"/>
      <c r="H18" s="137"/>
      <c r="I18" s="351"/>
      <c r="J18" s="351"/>
      <c r="K18" s="365"/>
    </row>
    <row r="19" spans="2:12" ht="25.5" x14ac:dyDescent="0.2">
      <c r="B19" s="153" t="s">
        <v>208</v>
      </c>
      <c r="C19" s="349"/>
      <c r="D19" s="137"/>
      <c r="E19" s="137"/>
      <c r="F19" s="368"/>
      <c r="G19" s="137"/>
      <c r="H19" s="137"/>
      <c r="I19" s="351"/>
      <c r="J19" s="351"/>
      <c r="K19" s="369"/>
    </row>
    <row r="20" spans="2:12" ht="25.5" x14ac:dyDescent="0.2">
      <c r="B20" s="153" t="s">
        <v>209</v>
      </c>
      <c r="C20" s="367"/>
      <c r="D20" s="137"/>
      <c r="E20" s="137"/>
      <c r="F20" s="137"/>
      <c r="G20" s="137"/>
      <c r="H20" s="137"/>
      <c r="I20" s="351"/>
      <c r="J20" s="351"/>
      <c r="K20" s="365"/>
    </row>
    <row r="21" spans="2:12" ht="25.5" x14ac:dyDescent="0.2">
      <c r="B21" s="153" t="s">
        <v>210</v>
      </c>
      <c r="C21" s="349"/>
      <c r="D21" s="137"/>
      <c r="E21" s="137"/>
      <c r="F21" s="368"/>
      <c r="G21" s="137"/>
      <c r="H21" s="137"/>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95"/>
      <c r="D23" s="396"/>
      <c r="E23" s="396"/>
      <c r="F23" s="396"/>
      <c r="G23" s="396"/>
      <c r="H23" s="396"/>
      <c r="I23" s="396"/>
      <c r="J23" s="396"/>
      <c r="K23" s="397"/>
    </row>
    <row r="24" spans="2:12" s="5" customFormat="1" ht="100.15" customHeight="1" x14ac:dyDescent="0.2">
      <c r="B24" s="101" t="s">
        <v>213</v>
      </c>
      <c r="C24" s="398"/>
      <c r="D24" s="399"/>
      <c r="E24" s="399"/>
      <c r="F24" s="399"/>
      <c r="G24" s="399"/>
      <c r="H24" s="399"/>
      <c r="I24" s="399"/>
      <c r="J24" s="399"/>
      <c r="K24" s="4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t="s">
        <v>500</v>
      </c>
      <c r="C5" s="148"/>
      <c r="D5" s="219" t="s">
        <v>501</v>
      </c>
      <c r="E5" s="7"/>
    </row>
    <row r="6" spans="1:5" ht="35.25" customHeight="1" x14ac:dyDescent="0.2">
      <c r="B6" s="217"/>
      <c r="C6" s="148"/>
      <c r="D6" s="220"/>
      <c r="E6" s="7"/>
    </row>
    <row r="7" spans="1:5" ht="35.25" customHeight="1" x14ac:dyDescent="0.2">
      <c r="B7" s="217"/>
      <c r="C7" s="148"/>
      <c r="D7" s="220"/>
      <c r="E7" s="7"/>
    </row>
    <row r="8" spans="1:5" ht="35.25" customHeight="1" x14ac:dyDescent="0.2">
      <c r="B8" s="217"/>
      <c r="C8" s="148"/>
      <c r="D8" s="220"/>
      <c r="E8" s="7"/>
    </row>
    <row r="9" spans="1:5" ht="35.25" customHeight="1" x14ac:dyDescent="0.2">
      <c r="B9" s="217"/>
      <c r="C9" s="148"/>
      <c r="D9" s="220"/>
      <c r="E9" s="7"/>
    </row>
    <row r="10" spans="1:5" ht="35.25" customHeight="1" x14ac:dyDescent="0.2">
      <c r="B10" s="217"/>
      <c r="C10" s="148"/>
      <c r="D10" s="220"/>
      <c r="E10" s="7"/>
    </row>
    <row r="11" spans="1:5" ht="35.25" customHeight="1" x14ac:dyDescent="0.2">
      <c r="B11" s="217"/>
      <c r="C11" s="148"/>
      <c r="D11" s="220"/>
      <c r="E11" s="7"/>
    </row>
    <row r="12" spans="1:5" ht="35.25" customHeight="1" x14ac:dyDescent="0.2">
      <c r="B12" s="218"/>
      <c r="C12" s="148"/>
      <c r="D12" s="220"/>
      <c r="E12" s="7"/>
    </row>
    <row r="13" spans="1:5" ht="35.25" customHeight="1" x14ac:dyDescent="0.2">
      <c r="B13" s="217"/>
      <c r="C13" s="148"/>
      <c r="D13" s="220"/>
      <c r="E13" s="7"/>
    </row>
    <row r="14" spans="1:5" ht="35.25" customHeight="1" x14ac:dyDescent="0.2">
      <c r="B14" s="217"/>
      <c r="C14" s="148"/>
      <c r="D14" s="220"/>
      <c r="E14" s="7"/>
    </row>
    <row r="15" spans="1:5" ht="35.25" customHeight="1" x14ac:dyDescent="0.2">
      <c r="B15" s="217"/>
      <c r="C15" s="148"/>
      <c r="D15" s="220"/>
      <c r="E15" s="7"/>
    </row>
    <row r="16" spans="1:5" ht="35.25" customHeight="1" x14ac:dyDescent="0.2">
      <c r="B16" s="217"/>
      <c r="C16" s="148"/>
      <c r="D16" s="220"/>
      <c r="E16" s="7"/>
    </row>
    <row r="17" spans="2:5" ht="35.25" customHeight="1" x14ac:dyDescent="0.2">
      <c r="B17" s="217"/>
      <c r="C17" s="148"/>
      <c r="D17" s="220"/>
      <c r="E17" s="7"/>
    </row>
    <row r="18" spans="2:5" ht="35.25" customHeight="1" x14ac:dyDescent="0.2">
      <c r="B18" s="217"/>
      <c r="C18" s="148"/>
      <c r="D18" s="220"/>
      <c r="E18" s="7"/>
    </row>
    <row r="19" spans="2:5" ht="35.25" customHeight="1" x14ac:dyDescent="0.2">
      <c r="B19" s="217"/>
      <c r="C19" s="148"/>
      <c r="D19" s="220"/>
      <c r="E19" s="7"/>
    </row>
    <row r="20" spans="2:5" ht="35.25" customHeight="1" x14ac:dyDescent="0.2">
      <c r="B20" s="217"/>
      <c r="C20" s="148"/>
      <c r="D20" s="220"/>
      <c r="E20" s="7"/>
    </row>
    <row r="21" spans="2:5" ht="35.25" customHeight="1" x14ac:dyDescent="0.2">
      <c r="B21" s="217"/>
      <c r="C21" s="148"/>
      <c r="D21" s="220"/>
      <c r="E21" s="7"/>
    </row>
    <row r="22" spans="2:5" ht="35.25" customHeight="1" x14ac:dyDescent="0.2">
      <c r="B22" s="217"/>
      <c r="C22" s="148"/>
      <c r="D22" s="220"/>
      <c r="E22" s="7"/>
    </row>
    <row r="23" spans="2:5" ht="35.25" customHeight="1" x14ac:dyDescent="0.2">
      <c r="B23" s="217"/>
      <c r="C23" s="148"/>
      <c r="D23" s="220"/>
      <c r="E23" s="7"/>
    </row>
    <row r="24" spans="2:5" ht="35.25" customHeight="1" x14ac:dyDescent="0.2">
      <c r="B24" s="217"/>
      <c r="C24" s="149"/>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t="s">
        <v>502</v>
      </c>
      <c r="C27" s="148"/>
      <c r="D27" s="221" t="s">
        <v>503</v>
      </c>
      <c r="E27" s="7"/>
    </row>
    <row r="28" spans="2:5" ht="35.25" customHeight="1" x14ac:dyDescent="0.2">
      <c r="B28" s="217"/>
      <c r="C28" s="148"/>
      <c r="D28" s="220"/>
      <c r="E28" s="7"/>
    </row>
    <row r="29" spans="2:5" ht="35.25" customHeight="1" x14ac:dyDescent="0.2">
      <c r="B29" s="217"/>
      <c r="C29" s="148"/>
      <c r="D29" s="220"/>
      <c r="E29" s="7"/>
    </row>
    <row r="30" spans="2:5" ht="35.25" customHeight="1" x14ac:dyDescent="0.2">
      <c r="B30" s="217"/>
      <c r="C30" s="148"/>
      <c r="D30" s="220"/>
      <c r="E30" s="7"/>
    </row>
    <row r="31" spans="2:5" ht="35.25" customHeight="1" x14ac:dyDescent="0.2">
      <c r="B31" s="217"/>
      <c r="C31" s="148"/>
      <c r="D31" s="220"/>
      <c r="E31" s="7"/>
    </row>
    <row r="32" spans="2:5" ht="35.25" customHeight="1" x14ac:dyDescent="0.2">
      <c r="B32" s="217"/>
      <c r="C32" s="148"/>
      <c r="D32" s="220"/>
      <c r="E32" s="7"/>
    </row>
    <row r="33" spans="2:5" ht="15" x14ac:dyDescent="0.25">
      <c r="B33" s="278" t="s">
        <v>68</v>
      </c>
      <c r="C33" s="279"/>
      <c r="D33" s="280"/>
      <c r="E33" s="7"/>
    </row>
    <row r="34" spans="2:5" ht="35.25" customHeight="1" x14ac:dyDescent="0.2">
      <c r="B34" s="217"/>
      <c r="C34" s="148"/>
      <c r="D34" s="220"/>
      <c r="E34" s="7"/>
    </row>
    <row r="35" spans="2:5" ht="35.25" customHeight="1" x14ac:dyDescent="0.2">
      <c r="B35" s="217"/>
      <c r="C35" s="148"/>
      <c r="D35" s="220"/>
      <c r="E35" s="7"/>
    </row>
    <row r="36" spans="2:5" ht="35.25" customHeight="1" x14ac:dyDescent="0.2">
      <c r="B36" s="217"/>
      <c r="C36" s="148"/>
      <c r="D36" s="220"/>
      <c r="E36" s="7"/>
    </row>
    <row r="37" spans="2:5" ht="35.25" customHeight="1" x14ac:dyDescent="0.2">
      <c r="B37" s="217"/>
      <c r="C37" s="148"/>
      <c r="D37" s="220"/>
      <c r="E37" s="7"/>
    </row>
    <row r="38" spans="2:5" ht="35.25" customHeight="1" x14ac:dyDescent="0.2">
      <c r="B38" s="217"/>
      <c r="C38" s="148"/>
      <c r="D38" s="220"/>
      <c r="E38" s="7"/>
    </row>
    <row r="39" spans="2:5" ht="35.25" customHeight="1" x14ac:dyDescent="0.2">
      <c r="B39" s="217"/>
      <c r="C39" s="149"/>
      <c r="D39" s="220"/>
      <c r="E39" s="7"/>
    </row>
    <row r="40" spans="2:5" ht="15" x14ac:dyDescent="0.25">
      <c r="B40" s="278" t="s">
        <v>126</v>
      </c>
      <c r="C40" s="279"/>
      <c r="D40" s="280"/>
      <c r="E40" s="7"/>
    </row>
    <row r="41" spans="2:5" ht="35.25" customHeight="1" x14ac:dyDescent="0.2">
      <c r="B41" s="217"/>
      <c r="C41" s="148"/>
      <c r="D41" s="220"/>
      <c r="E41" s="7"/>
    </row>
    <row r="42" spans="2:5" ht="35.25" customHeight="1" x14ac:dyDescent="0.2">
      <c r="B42" s="217"/>
      <c r="C42" s="148"/>
      <c r="D42" s="220"/>
      <c r="E42" s="7"/>
    </row>
    <row r="43" spans="2:5" ht="35.25" customHeight="1" x14ac:dyDescent="0.2">
      <c r="B43" s="217"/>
      <c r="C43" s="148"/>
      <c r="D43" s="220"/>
      <c r="E43" s="7"/>
    </row>
    <row r="44" spans="2:5" ht="35.25" customHeight="1" x14ac:dyDescent="0.2">
      <c r="B44" s="217"/>
      <c r="C44" s="148"/>
      <c r="D44" s="220"/>
      <c r="E44" s="7"/>
    </row>
    <row r="45" spans="2:5" ht="35.25" customHeight="1" x14ac:dyDescent="0.2">
      <c r="B45" s="217"/>
      <c r="C45" s="148"/>
      <c r="D45" s="220"/>
      <c r="E45" s="7"/>
    </row>
    <row r="46" spans="2:5" ht="35.25" customHeight="1" x14ac:dyDescent="0.2">
      <c r="B46" s="217"/>
      <c r="C46" s="149"/>
      <c r="D46" s="220"/>
      <c r="E46" s="7"/>
    </row>
    <row r="47" spans="2:5" ht="15" x14ac:dyDescent="0.25">
      <c r="B47" s="278" t="s">
        <v>69</v>
      </c>
      <c r="C47" s="279"/>
      <c r="D47" s="280"/>
      <c r="E47" s="7"/>
    </row>
    <row r="48" spans="2:5" ht="35.25" customHeight="1" x14ac:dyDescent="0.2">
      <c r="B48" s="217" t="s">
        <v>504</v>
      </c>
      <c r="C48" s="148"/>
      <c r="D48" s="220" t="s">
        <v>505</v>
      </c>
      <c r="E48" s="7"/>
    </row>
    <row r="49" spans="2:5" ht="35.25" customHeight="1" x14ac:dyDescent="0.2">
      <c r="B49" s="217"/>
      <c r="C49" s="148"/>
      <c r="D49" s="220"/>
      <c r="E49" s="7"/>
    </row>
    <row r="50" spans="2:5" ht="35.25" customHeight="1" x14ac:dyDescent="0.2">
      <c r="B50" s="217"/>
      <c r="C50" s="148"/>
      <c r="D50" s="220"/>
      <c r="E50" s="7"/>
    </row>
    <row r="51" spans="2:5" ht="35.25" customHeight="1" x14ac:dyDescent="0.2">
      <c r="B51" s="217"/>
      <c r="C51" s="148"/>
      <c r="D51" s="220"/>
      <c r="E51" s="7"/>
    </row>
    <row r="52" spans="2:5" ht="35.25" customHeight="1" x14ac:dyDescent="0.2">
      <c r="B52" s="217"/>
      <c r="C52" s="148"/>
      <c r="D52" s="220"/>
      <c r="E52" s="7"/>
    </row>
    <row r="53" spans="2:5" ht="35.25" customHeight="1" x14ac:dyDescent="0.2">
      <c r="B53" s="217"/>
      <c r="C53" s="149"/>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t="s">
        <v>506</v>
      </c>
      <c r="C56" s="150"/>
      <c r="D56" s="220" t="s">
        <v>505</v>
      </c>
      <c r="E56" s="7"/>
    </row>
    <row r="57" spans="2:5" ht="35.25" customHeight="1" x14ac:dyDescent="0.2">
      <c r="B57" s="217"/>
      <c r="C57" s="150"/>
      <c r="D57" s="220"/>
      <c r="E57" s="7"/>
    </row>
    <row r="58" spans="2:5" ht="35.25" customHeight="1" x14ac:dyDescent="0.2">
      <c r="B58" s="217"/>
      <c r="C58" s="150"/>
      <c r="D58" s="220"/>
      <c r="E58" s="7"/>
    </row>
    <row r="59" spans="2:5" ht="35.25" customHeight="1" x14ac:dyDescent="0.2">
      <c r="B59" s="217"/>
      <c r="C59" s="150"/>
      <c r="D59" s="220"/>
      <c r="E59" s="7"/>
    </row>
    <row r="60" spans="2:5" ht="35.25" customHeight="1" x14ac:dyDescent="0.2">
      <c r="B60" s="217"/>
      <c r="C60" s="150"/>
      <c r="D60" s="220"/>
      <c r="E60" s="7"/>
    </row>
    <row r="61" spans="2:5" ht="35.25" customHeight="1" x14ac:dyDescent="0.2">
      <c r="B61" s="217"/>
      <c r="C61" s="150"/>
      <c r="D61" s="220"/>
      <c r="E61" s="7"/>
    </row>
    <row r="62" spans="2:5" ht="35.25" customHeight="1" x14ac:dyDescent="0.2">
      <c r="B62" s="217"/>
      <c r="C62" s="150"/>
      <c r="D62" s="220"/>
      <c r="E62" s="7"/>
    </row>
    <row r="63" spans="2:5" ht="35.25" customHeight="1" x14ac:dyDescent="0.2">
      <c r="B63" s="217"/>
      <c r="C63" s="150"/>
      <c r="D63" s="220"/>
      <c r="E63" s="7"/>
    </row>
    <row r="64" spans="2:5" ht="35.25" customHeight="1" x14ac:dyDescent="0.2">
      <c r="B64" s="217"/>
      <c r="C64" s="150"/>
      <c r="D64" s="220"/>
      <c r="E64" s="7"/>
    </row>
    <row r="65" spans="2:5" ht="35.25" customHeight="1" x14ac:dyDescent="0.2">
      <c r="B65" s="217"/>
      <c r="C65" s="150"/>
      <c r="D65" s="220"/>
      <c r="E65" s="7"/>
    </row>
    <row r="66" spans="2:5" ht="15" x14ac:dyDescent="0.25">
      <c r="B66" s="278" t="s">
        <v>113</v>
      </c>
      <c r="C66" s="279"/>
      <c r="D66" s="280"/>
      <c r="E66" s="7"/>
    </row>
    <row r="67" spans="2:5" ht="35.25" customHeight="1" x14ac:dyDescent="0.2">
      <c r="B67" s="217"/>
      <c r="C67" s="150"/>
      <c r="D67" s="220"/>
      <c r="E67" s="7"/>
    </row>
    <row r="68" spans="2:5" ht="35.25" customHeight="1" x14ac:dyDescent="0.2">
      <c r="B68" s="217"/>
      <c r="C68" s="150"/>
      <c r="D68" s="220"/>
      <c r="E68" s="7"/>
    </row>
    <row r="69" spans="2:5" ht="35.25" customHeight="1" x14ac:dyDescent="0.2">
      <c r="B69" s="217"/>
      <c r="C69" s="150"/>
      <c r="D69" s="220"/>
      <c r="E69" s="7"/>
    </row>
    <row r="70" spans="2:5" ht="35.25" customHeight="1" x14ac:dyDescent="0.2">
      <c r="B70" s="217"/>
      <c r="C70" s="150"/>
      <c r="D70" s="220"/>
      <c r="E70" s="7"/>
    </row>
    <row r="71" spans="2:5" ht="35.25" customHeight="1" x14ac:dyDescent="0.2">
      <c r="B71" s="217"/>
      <c r="C71" s="150"/>
      <c r="D71" s="220"/>
      <c r="E71" s="7"/>
    </row>
    <row r="72" spans="2:5" ht="35.25" customHeight="1" x14ac:dyDescent="0.2">
      <c r="B72" s="217"/>
      <c r="C72" s="150"/>
      <c r="D72" s="220"/>
      <c r="E72" s="7"/>
    </row>
    <row r="73" spans="2:5" ht="35.25" customHeight="1" x14ac:dyDescent="0.2">
      <c r="B73" s="217"/>
      <c r="C73" s="150"/>
      <c r="D73" s="220"/>
      <c r="E73" s="7"/>
    </row>
    <row r="74" spans="2:5" ht="35.25" customHeight="1" x14ac:dyDescent="0.2">
      <c r="B74" s="217"/>
      <c r="C74" s="150"/>
      <c r="D74" s="220"/>
      <c r="E74" s="7"/>
    </row>
    <row r="75" spans="2:5" ht="35.25" customHeight="1" x14ac:dyDescent="0.2">
      <c r="B75" s="217"/>
      <c r="C75" s="150"/>
      <c r="D75" s="220"/>
      <c r="E75" s="7"/>
    </row>
    <row r="76" spans="2:5" ht="35.25" customHeight="1" x14ac:dyDescent="0.2">
      <c r="B76" s="217"/>
      <c r="C76" s="150"/>
      <c r="D76" s="220"/>
      <c r="E76" s="7"/>
    </row>
    <row r="77" spans="2:5" ht="15" x14ac:dyDescent="0.25">
      <c r="B77" s="278" t="s">
        <v>70</v>
      </c>
      <c r="C77" s="279"/>
      <c r="D77" s="280"/>
      <c r="E77" s="7"/>
    </row>
    <row r="78" spans="2:5" ht="35.25" customHeight="1" x14ac:dyDescent="0.2">
      <c r="B78" s="217"/>
      <c r="C78" s="150"/>
      <c r="D78" s="220"/>
      <c r="E78" s="7"/>
    </row>
    <row r="79" spans="2:5" ht="35.25" customHeight="1" x14ac:dyDescent="0.2">
      <c r="B79" s="217"/>
      <c r="C79" s="150"/>
      <c r="D79" s="220"/>
      <c r="E79" s="7"/>
    </row>
    <row r="80" spans="2:5" ht="35.25" customHeight="1" x14ac:dyDescent="0.2">
      <c r="B80" s="217"/>
      <c r="C80" s="150"/>
      <c r="D80" s="220"/>
      <c r="E80" s="7"/>
    </row>
    <row r="81" spans="2:5" ht="35.25" customHeight="1" x14ac:dyDescent="0.2">
      <c r="B81" s="217"/>
      <c r="C81" s="150"/>
      <c r="D81" s="220"/>
      <c r="E81" s="7"/>
    </row>
    <row r="82" spans="2:5" ht="35.25" customHeight="1" x14ac:dyDescent="0.2">
      <c r="B82" s="217"/>
      <c r="C82" s="150"/>
      <c r="D82" s="220"/>
      <c r="E82" s="7"/>
    </row>
    <row r="83" spans="2:5" ht="35.25" customHeight="1" x14ac:dyDescent="0.2">
      <c r="B83" s="217"/>
      <c r="C83" s="150"/>
      <c r="D83" s="220"/>
      <c r="E83" s="7"/>
    </row>
    <row r="84" spans="2:5" ht="35.25" customHeight="1" x14ac:dyDescent="0.2">
      <c r="B84" s="217"/>
      <c r="C84" s="150"/>
      <c r="D84" s="220"/>
      <c r="E84" s="7"/>
    </row>
    <row r="85" spans="2:5" ht="35.25" customHeight="1" x14ac:dyDescent="0.2">
      <c r="B85" s="217"/>
      <c r="C85" s="150"/>
      <c r="D85" s="220"/>
      <c r="E85" s="7"/>
    </row>
    <row r="86" spans="2:5" ht="35.25" customHeight="1" x14ac:dyDescent="0.2">
      <c r="B86" s="217"/>
      <c r="C86" s="150"/>
      <c r="D86" s="220"/>
      <c r="E86" s="7"/>
    </row>
    <row r="87" spans="2:5" ht="35.25" customHeight="1" x14ac:dyDescent="0.2">
      <c r="B87" s="217"/>
      <c r="C87" s="150"/>
      <c r="D87" s="220"/>
      <c r="E87" s="7"/>
    </row>
    <row r="88" spans="2:5" ht="15" x14ac:dyDescent="0.25">
      <c r="B88" s="278" t="s">
        <v>71</v>
      </c>
      <c r="C88" s="279"/>
      <c r="D88" s="280"/>
      <c r="E88" s="7"/>
    </row>
    <row r="89" spans="2:5" ht="35.25" customHeight="1" x14ac:dyDescent="0.2">
      <c r="B89" s="217" t="s">
        <v>507</v>
      </c>
      <c r="C89" s="150"/>
      <c r="D89" s="220" t="s">
        <v>505</v>
      </c>
      <c r="E89" s="7"/>
    </row>
    <row r="90" spans="2:5" ht="35.25" customHeight="1" x14ac:dyDescent="0.2">
      <c r="B90" s="217"/>
      <c r="C90" s="150"/>
      <c r="D90" s="220"/>
      <c r="E90" s="7"/>
    </row>
    <row r="91" spans="2:5" ht="35.25" customHeight="1" x14ac:dyDescent="0.2">
      <c r="B91" s="217"/>
      <c r="C91" s="150"/>
      <c r="D91" s="220"/>
      <c r="E91" s="7"/>
    </row>
    <row r="92" spans="2:5" ht="35.25" customHeight="1" x14ac:dyDescent="0.2">
      <c r="B92" s="217"/>
      <c r="C92" s="150"/>
      <c r="D92" s="220"/>
      <c r="E92" s="7"/>
    </row>
    <row r="93" spans="2:5" ht="35.25" customHeight="1" x14ac:dyDescent="0.2">
      <c r="B93" s="217"/>
      <c r="C93" s="150"/>
      <c r="D93" s="220"/>
      <c r="E93" s="7"/>
    </row>
    <row r="94" spans="2:5" ht="35.25" customHeight="1" x14ac:dyDescent="0.2">
      <c r="B94" s="217"/>
      <c r="C94" s="150"/>
      <c r="D94" s="220"/>
      <c r="E94" s="7"/>
    </row>
    <row r="95" spans="2:5" ht="35.25" customHeight="1" x14ac:dyDescent="0.2">
      <c r="B95" s="217"/>
      <c r="C95" s="150"/>
      <c r="D95" s="220"/>
      <c r="E95" s="7"/>
    </row>
    <row r="96" spans="2:5" ht="35.25" customHeight="1" x14ac:dyDescent="0.2">
      <c r="B96" s="217"/>
      <c r="C96" s="150"/>
      <c r="D96" s="220"/>
      <c r="E96" s="7"/>
    </row>
    <row r="97" spans="2:5" ht="35.25" customHeight="1" x14ac:dyDescent="0.2">
      <c r="B97" s="217"/>
      <c r="C97" s="150"/>
      <c r="D97" s="220"/>
      <c r="E97" s="7"/>
    </row>
    <row r="98" spans="2:5" ht="35.25" customHeight="1" x14ac:dyDescent="0.2">
      <c r="B98" s="217"/>
      <c r="C98" s="150"/>
      <c r="D98" s="220"/>
      <c r="E98" s="7"/>
    </row>
    <row r="99" spans="2:5" ht="15" x14ac:dyDescent="0.25">
      <c r="B99" s="278" t="s">
        <v>199</v>
      </c>
      <c r="C99" s="279"/>
      <c r="D99" s="280"/>
      <c r="E99" s="7"/>
    </row>
    <row r="100" spans="2:5" ht="35.25" customHeight="1" x14ac:dyDescent="0.2">
      <c r="B100" s="217"/>
      <c r="C100" s="150"/>
      <c r="D100" s="220"/>
      <c r="E100" s="7"/>
    </row>
    <row r="101" spans="2:5" ht="35.25" customHeight="1" x14ac:dyDescent="0.2">
      <c r="B101" s="217"/>
      <c r="C101" s="150"/>
      <c r="D101" s="220"/>
      <c r="E101" s="7"/>
    </row>
    <row r="102" spans="2:5" ht="35.25" customHeight="1" x14ac:dyDescent="0.2">
      <c r="B102" s="217"/>
      <c r="C102" s="150"/>
      <c r="D102" s="220"/>
      <c r="E102" s="7"/>
    </row>
    <row r="103" spans="2:5" ht="35.25" customHeight="1" x14ac:dyDescent="0.2">
      <c r="B103" s="217"/>
      <c r="C103" s="150"/>
      <c r="D103" s="220"/>
      <c r="E103" s="7"/>
    </row>
    <row r="104" spans="2:5" ht="35.25" customHeight="1" x14ac:dyDescent="0.2">
      <c r="B104" s="217"/>
      <c r="C104" s="150"/>
      <c r="D104" s="220"/>
      <c r="E104" s="7"/>
    </row>
    <row r="105" spans="2:5" ht="35.25" customHeight="1" x14ac:dyDescent="0.2">
      <c r="B105" s="217"/>
      <c r="C105" s="150"/>
      <c r="D105" s="220"/>
      <c r="E105" s="7"/>
    </row>
    <row r="106" spans="2:5" ht="35.25" customHeight="1" x14ac:dyDescent="0.2">
      <c r="B106" s="217"/>
      <c r="C106" s="150"/>
      <c r="D106" s="220"/>
      <c r="E106" s="7"/>
    </row>
    <row r="107" spans="2:5" ht="35.25" customHeight="1" x14ac:dyDescent="0.2">
      <c r="B107" s="217"/>
      <c r="C107" s="150"/>
      <c r="D107" s="220"/>
      <c r="E107" s="7"/>
    </row>
    <row r="108" spans="2:5" ht="35.25" customHeight="1" x14ac:dyDescent="0.2">
      <c r="B108" s="217"/>
      <c r="C108" s="150"/>
      <c r="D108" s="220"/>
      <c r="E108" s="7"/>
    </row>
    <row r="109" spans="2:5" ht="35.25" customHeight="1" x14ac:dyDescent="0.2">
      <c r="B109" s="217"/>
      <c r="C109" s="150"/>
      <c r="D109" s="220"/>
      <c r="E109" s="7"/>
    </row>
    <row r="110" spans="2:5" s="5" customFormat="1" ht="15" x14ac:dyDescent="0.25">
      <c r="B110" s="278" t="s">
        <v>100</v>
      </c>
      <c r="C110" s="279"/>
      <c r="D110" s="280"/>
      <c r="E110" s="27"/>
    </row>
    <row r="111" spans="2:5" s="5" customFormat="1" ht="35.25" customHeight="1" x14ac:dyDescent="0.2">
      <c r="B111" s="217"/>
      <c r="C111" s="150"/>
      <c r="D111" s="220"/>
      <c r="E111" s="27"/>
    </row>
    <row r="112" spans="2:5" s="5" customFormat="1" ht="35.25" customHeight="1" x14ac:dyDescent="0.2">
      <c r="B112" s="217"/>
      <c r="C112" s="150"/>
      <c r="D112" s="220"/>
      <c r="E112" s="27"/>
    </row>
    <row r="113" spans="2:5" s="5" customFormat="1" ht="35.25" customHeight="1" x14ac:dyDescent="0.2">
      <c r="B113" s="217"/>
      <c r="C113" s="150"/>
      <c r="D113" s="220"/>
      <c r="E113" s="27"/>
    </row>
    <row r="114" spans="2:5" s="5" customFormat="1" ht="35.25" customHeight="1" x14ac:dyDescent="0.2">
      <c r="B114" s="217"/>
      <c r="C114" s="150"/>
      <c r="D114" s="220"/>
      <c r="E114" s="27"/>
    </row>
    <row r="115" spans="2:5" s="5" customFormat="1" ht="35.25" customHeight="1" x14ac:dyDescent="0.2">
      <c r="B115" s="217"/>
      <c r="C115" s="150"/>
      <c r="D115" s="220"/>
      <c r="E115" s="27"/>
    </row>
    <row r="116" spans="2:5" s="5" customFormat="1" ht="35.25" customHeight="1" x14ac:dyDescent="0.2">
      <c r="B116" s="217"/>
      <c r="C116" s="150"/>
      <c r="D116" s="220"/>
      <c r="E116" s="27"/>
    </row>
    <row r="117" spans="2:5" s="5" customFormat="1" ht="35.25" customHeight="1" x14ac:dyDescent="0.2">
      <c r="B117" s="217"/>
      <c r="C117" s="150"/>
      <c r="D117" s="220"/>
      <c r="E117" s="27"/>
    </row>
    <row r="118" spans="2:5" s="5" customFormat="1" ht="35.25" customHeight="1" x14ac:dyDescent="0.2">
      <c r="B118" s="217"/>
      <c r="C118" s="150"/>
      <c r="D118" s="220"/>
      <c r="E118" s="27"/>
    </row>
    <row r="119" spans="2:5" s="5" customFormat="1" ht="35.25" customHeight="1" x14ac:dyDescent="0.2">
      <c r="B119" s="217"/>
      <c r="C119" s="150"/>
      <c r="D119" s="220"/>
      <c r="E119" s="27"/>
    </row>
    <row r="120" spans="2:5" s="5" customFormat="1" ht="35.25" customHeight="1" x14ac:dyDescent="0.2">
      <c r="B120" s="217"/>
      <c r="C120" s="150"/>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48"/>
      <c r="D123" s="220"/>
      <c r="E123" s="7"/>
    </row>
    <row r="124" spans="2:5" s="5" customFormat="1" ht="35.25" customHeight="1" x14ac:dyDescent="0.2">
      <c r="B124" s="217"/>
      <c r="C124" s="148"/>
      <c r="D124" s="220"/>
      <c r="E124" s="27"/>
    </row>
    <row r="125" spans="2:5" s="5" customFormat="1" ht="35.25" customHeight="1" x14ac:dyDescent="0.2">
      <c r="B125" s="217"/>
      <c r="C125" s="148"/>
      <c r="D125" s="220"/>
      <c r="E125" s="27"/>
    </row>
    <row r="126" spans="2:5" s="5" customFormat="1" ht="35.25" customHeight="1" x14ac:dyDescent="0.2">
      <c r="B126" s="217"/>
      <c r="C126" s="148"/>
      <c r="D126" s="220"/>
      <c r="E126" s="27"/>
    </row>
    <row r="127" spans="2:5" s="5" customFormat="1" ht="35.25" customHeight="1" x14ac:dyDescent="0.2">
      <c r="B127" s="217"/>
      <c r="C127" s="148"/>
      <c r="D127" s="220"/>
      <c r="E127" s="27"/>
    </row>
    <row r="128" spans="2:5" s="5" customFormat="1" ht="35.25" customHeight="1" x14ac:dyDescent="0.2">
      <c r="B128" s="217"/>
      <c r="C128" s="148"/>
      <c r="D128" s="220"/>
      <c r="E128" s="27"/>
    </row>
    <row r="129" spans="2:5" s="5" customFormat="1" ht="35.25" customHeight="1" x14ac:dyDescent="0.2">
      <c r="B129" s="217"/>
      <c r="C129" s="148"/>
      <c r="D129" s="220"/>
      <c r="E129" s="27"/>
    </row>
    <row r="130" spans="2:5" s="5" customFormat="1" ht="35.25" customHeight="1" x14ac:dyDescent="0.2">
      <c r="B130" s="217"/>
      <c r="C130" s="148"/>
      <c r="D130" s="220"/>
      <c r="E130" s="27"/>
    </row>
    <row r="131" spans="2:5" s="5" customFormat="1" ht="35.25" customHeight="1" x14ac:dyDescent="0.2">
      <c r="B131" s="217"/>
      <c r="C131" s="148"/>
      <c r="D131" s="220"/>
      <c r="E131" s="27"/>
    </row>
    <row r="132" spans="2:5" s="5" customFormat="1" ht="35.25" customHeight="1" x14ac:dyDescent="0.2">
      <c r="B132" s="217"/>
      <c r="C132" s="149"/>
      <c r="D132" s="220"/>
      <c r="E132" s="27"/>
    </row>
    <row r="133" spans="2:5" ht="15" x14ac:dyDescent="0.25">
      <c r="B133" s="278" t="s">
        <v>73</v>
      </c>
      <c r="C133" s="279"/>
      <c r="D133" s="280"/>
      <c r="E133" s="7"/>
    </row>
    <row r="134" spans="2:5" s="5" customFormat="1" ht="35.25" customHeight="1" x14ac:dyDescent="0.2">
      <c r="B134" s="217" t="s">
        <v>508</v>
      </c>
      <c r="C134" s="148"/>
      <c r="D134" s="220" t="s">
        <v>505</v>
      </c>
      <c r="E134" s="27"/>
    </row>
    <row r="135" spans="2:5" s="5" customFormat="1" ht="35.25" customHeight="1" x14ac:dyDescent="0.2">
      <c r="B135" s="217"/>
      <c r="C135" s="148"/>
      <c r="D135" s="220"/>
      <c r="E135" s="27"/>
    </row>
    <row r="136" spans="2:5" s="5" customFormat="1" ht="35.25" customHeight="1" x14ac:dyDescent="0.2">
      <c r="B136" s="217"/>
      <c r="C136" s="148"/>
      <c r="D136" s="220"/>
      <c r="E136" s="27"/>
    </row>
    <row r="137" spans="2:5" s="5" customFormat="1" ht="35.25" customHeight="1" x14ac:dyDescent="0.2">
      <c r="B137" s="217"/>
      <c r="C137" s="148"/>
      <c r="D137" s="220"/>
      <c r="E137" s="27"/>
    </row>
    <row r="138" spans="2:5" s="5" customFormat="1" ht="35.25" customHeight="1" x14ac:dyDescent="0.2">
      <c r="B138" s="217"/>
      <c r="C138" s="148"/>
      <c r="D138" s="220"/>
      <c r="E138" s="27"/>
    </row>
    <row r="139" spans="2:5" s="5" customFormat="1" ht="35.25" customHeight="1" x14ac:dyDescent="0.2">
      <c r="B139" s="217"/>
      <c r="C139" s="148"/>
      <c r="D139" s="220"/>
      <c r="E139" s="27"/>
    </row>
    <row r="140" spans="2:5" s="5" customFormat="1" ht="35.25" customHeight="1" x14ac:dyDescent="0.2">
      <c r="B140" s="217"/>
      <c r="C140" s="148"/>
      <c r="D140" s="220"/>
      <c r="E140" s="27"/>
    </row>
    <row r="141" spans="2:5" s="5" customFormat="1" ht="35.25" customHeight="1" x14ac:dyDescent="0.2">
      <c r="B141" s="217"/>
      <c r="C141" s="148"/>
      <c r="D141" s="220"/>
      <c r="E141" s="27"/>
    </row>
    <row r="142" spans="2:5" s="5" customFormat="1" ht="35.25" customHeight="1" x14ac:dyDescent="0.2">
      <c r="B142" s="217"/>
      <c r="C142" s="148"/>
      <c r="D142" s="220"/>
      <c r="E142" s="27"/>
    </row>
    <row r="143" spans="2:5" s="5" customFormat="1" ht="35.25" customHeight="1" x14ac:dyDescent="0.2">
      <c r="B143" s="217"/>
      <c r="C143" s="149"/>
      <c r="D143" s="220"/>
      <c r="E143" s="27"/>
    </row>
    <row r="144" spans="2:5" ht="15" x14ac:dyDescent="0.25">
      <c r="B144" s="278" t="s">
        <v>74</v>
      </c>
      <c r="C144" s="279"/>
      <c r="D144" s="280"/>
      <c r="E144" s="7"/>
    </row>
    <row r="145" spans="2:5" s="5" customFormat="1" ht="35.25" customHeight="1" x14ac:dyDescent="0.2">
      <c r="B145" s="217"/>
      <c r="C145" s="148"/>
      <c r="D145" s="220"/>
      <c r="E145" s="27"/>
    </row>
    <row r="146" spans="2:5" s="5" customFormat="1" ht="35.25" customHeight="1" x14ac:dyDescent="0.2">
      <c r="B146" s="217"/>
      <c r="C146" s="148"/>
      <c r="D146" s="220"/>
      <c r="E146" s="27"/>
    </row>
    <row r="147" spans="2:5" s="5" customFormat="1" ht="35.25" customHeight="1" x14ac:dyDescent="0.2">
      <c r="B147" s="217"/>
      <c r="C147" s="148"/>
      <c r="D147" s="220"/>
      <c r="E147" s="27"/>
    </row>
    <row r="148" spans="2:5" s="5" customFormat="1" ht="35.25" customHeight="1" x14ac:dyDescent="0.2">
      <c r="B148" s="217"/>
      <c r="C148" s="148"/>
      <c r="D148" s="220"/>
      <c r="E148" s="27"/>
    </row>
    <row r="149" spans="2:5" s="5" customFormat="1" ht="35.25" customHeight="1" x14ac:dyDescent="0.2">
      <c r="B149" s="217"/>
      <c r="C149" s="148"/>
      <c r="D149" s="220"/>
      <c r="E149" s="27"/>
    </row>
    <row r="150" spans="2:5" s="5" customFormat="1" ht="35.25" customHeight="1" x14ac:dyDescent="0.2">
      <c r="B150" s="217"/>
      <c r="C150" s="148"/>
      <c r="D150" s="220"/>
      <c r="E150" s="27"/>
    </row>
    <row r="151" spans="2:5" s="5" customFormat="1" ht="35.25" customHeight="1" x14ac:dyDescent="0.2">
      <c r="B151" s="217"/>
      <c r="C151" s="148"/>
      <c r="D151" s="220"/>
      <c r="E151" s="27"/>
    </row>
    <row r="152" spans="2:5" s="5" customFormat="1" ht="35.25" customHeight="1" x14ac:dyDescent="0.2">
      <c r="B152" s="217"/>
      <c r="C152" s="148"/>
      <c r="D152" s="220"/>
      <c r="E152" s="27"/>
    </row>
    <row r="153" spans="2:5" s="5" customFormat="1" ht="35.25" customHeight="1" x14ac:dyDescent="0.2">
      <c r="B153" s="217"/>
      <c r="C153" s="148"/>
      <c r="D153" s="220"/>
      <c r="E153" s="27"/>
    </row>
    <row r="154" spans="2:5" s="5" customFormat="1" ht="35.25" customHeight="1" x14ac:dyDescent="0.2">
      <c r="B154" s="217"/>
      <c r="C154" s="149"/>
      <c r="D154" s="220"/>
      <c r="E154" s="27"/>
    </row>
    <row r="155" spans="2:5" ht="15" x14ac:dyDescent="0.25">
      <c r="B155" s="278" t="s">
        <v>75</v>
      </c>
      <c r="C155" s="279"/>
      <c r="D155" s="280"/>
      <c r="E155" s="7"/>
    </row>
    <row r="156" spans="2:5" s="5" customFormat="1" ht="35.25" customHeight="1" x14ac:dyDescent="0.2">
      <c r="B156" s="217" t="s">
        <v>510</v>
      </c>
      <c r="C156" s="148"/>
      <c r="D156" s="220" t="s">
        <v>509</v>
      </c>
      <c r="E156" s="27"/>
    </row>
    <row r="157" spans="2:5" s="5" customFormat="1" ht="35.25" customHeight="1" x14ac:dyDescent="0.2">
      <c r="B157" s="217"/>
      <c r="C157" s="148"/>
      <c r="D157" s="220"/>
      <c r="E157" s="27"/>
    </row>
    <row r="158" spans="2:5" s="5" customFormat="1" ht="35.25" customHeight="1" x14ac:dyDescent="0.2">
      <c r="B158" s="217"/>
      <c r="C158" s="148"/>
      <c r="D158" s="220"/>
      <c r="E158" s="27"/>
    </row>
    <row r="159" spans="2:5" s="5" customFormat="1" ht="35.25" customHeight="1" x14ac:dyDescent="0.2">
      <c r="B159" s="217"/>
      <c r="C159" s="148"/>
      <c r="D159" s="220"/>
      <c r="E159" s="27"/>
    </row>
    <row r="160" spans="2:5" s="5" customFormat="1" ht="35.25" customHeight="1" x14ac:dyDescent="0.2">
      <c r="B160" s="217"/>
      <c r="C160" s="148"/>
      <c r="D160" s="220"/>
      <c r="E160" s="27"/>
    </row>
    <row r="161" spans="2:5" s="5" customFormat="1" ht="35.25" customHeight="1" x14ac:dyDescent="0.2">
      <c r="B161" s="217"/>
      <c r="C161" s="148"/>
      <c r="D161" s="220"/>
      <c r="E161" s="27"/>
    </row>
    <row r="162" spans="2:5" s="5" customFormat="1" ht="35.25" customHeight="1" x14ac:dyDescent="0.2">
      <c r="B162" s="217"/>
      <c r="C162" s="148"/>
      <c r="D162" s="220"/>
      <c r="E162" s="27"/>
    </row>
    <row r="163" spans="2:5" s="5" customFormat="1" ht="35.25" customHeight="1" x14ac:dyDescent="0.2">
      <c r="B163" s="217"/>
      <c r="C163" s="148"/>
      <c r="D163" s="220"/>
      <c r="E163" s="27"/>
    </row>
    <row r="164" spans="2:5" s="5" customFormat="1" ht="35.25" customHeight="1" x14ac:dyDescent="0.2">
      <c r="B164" s="217"/>
      <c r="C164" s="148"/>
      <c r="D164" s="220"/>
      <c r="E164" s="27"/>
    </row>
    <row r="165" spans="2:5" s="5" customFormat="1" ht="35.25" customHeight="1" x14ac:dyDescent="0.2">
      <c r="B165" s="217"/>
      <c r="C165" s="149"/>
      <c r="D165" s="220"/>
      <c r="E165" s="27"/>
    </row>
    <row r="166" spans="2:5" ht="15" x14ac:dyDescent="0.25">
      <c r="B166" s="278" t="s">
        <v>76</v>
      </c>
      <c r="C166" s="279"/>
      <c r="D166" s="280"/>
      <c r="E166" s="7"/>
    </row>
    <row r="167" spans="2:5" s="5" customFormat="1" ht="35.25" customHeight="1" x14ac:dyDescent="0.2">
      <c r="B167" s="217" t="s">
        <v>511</v>
      </c>
      <c r="C167" s="148"/>
      <c r="D167" s="220" t="s">
        <v>505</v>
      </c>
      <c r="E167" s="27"/>
    </row>
    <row r="168" spans="2:5" s="5" customFormat="1" ht="35.25" customHeight="1" x14ac:dyDescent="0.2">
      <c r="B168" s="217"/>
      <c r="C168" s="148"/>
      <c r="D168" s="220"/>
      <c r="E168" s="27"/>
    </row>
    <row r="169" spans="2:5" s="5" customFormat="1" ht="35.25" customHeight="1" x14ac:dyDescent="0.2">
      <c r="B169" s="217"/>
      <c r="C169" s="148"/>
      <c r="D169" s="220"/>
      <c r="E169" s="27"/>
    </row>
    <row r="170" spans="2:5" s="5" customFormat="1" ht="35.25" customHeight="1" x14ac:dyDescent="0.2">
      <c r="B170" s="217"/>
      <c r="C170" s="148"/>
      <c r="D170" s="220"/>
      <c r="E170" s="27"/>
    </row>
    <row r="171" spans="2:5" s="5" customFormat="1" ht="35.25" customHeight="1" x14ac:dyDescent="0.2">
      <c r="B171" s="217"/>
      <c r="C171" s="148"/>
      <c r="D171" s="220"/>
      <c r="E171" s="27"/>
    </row>
    <row r="172" spans="2:5" s="5" customFormat="1" ht="35.25" customHeight="1" x14ac:dyDescent="0.2">
      <c r="B172" s="217"/>
      <c r="C172" s="148"/>
      <c r="D172" s="220"/>
      <c r="E172" s="27"/>
    </row>
    <row r="173" spans="2:5" s="5" customFormat="1" ht="35.25" customHeight="1" x14ac:dyDescent="0.2">
      <c r="B173" s="217"/>
      <c r="C173" s="148"/>
      <c r="D173" s="220"/>
      <c r="E173" s="27"/>
    </row>
    <row r="174" spans="2:5" s="5" customFormat="1" ht="35.25" customHeight="1" x14ac:dyDescent="0.2">
      <c r="B174" s="217"/>
      <c r="C174" s="148"/>
      <c r="D174" s="220"/>
      <c r="E174" s="27"/>
    </row>
    <row r="175" spans="2:5" s="5" customFormat="1" ht="35.25" customHeight="1" x14ac:dyDescent="0.2">
      <c r="B175" s="217"/>
      <c r="C175" s="148"/>
      <c r="D175" s="220"/>
      <c r="E175" s="27"/>
    </row>
    <row r="176" spans="2:5" s="5" customFormat="1" ht="35.25" customHeight="1" x14ac:dyDescent="0.2">
      <c r="B176" s="217"/>
      <c r="C176" s="149"/>
      <c r="D176" s="220"/>
      <c r="E176" s="27"/>
    </row>
    <row r="177" spans="2:5" ht="15" x14ac:dyDescent="0.25">
      <c r="B177" s="278" t="s">
        <v>78</v>
      </c>
      <c r="C177" s="279"/>
      <c r="D177" s="280"/>
      <c r="E177" s="1"/>
    </row>
    <row r="178" spans="2:5" s="5" customFormat="1" ht="35.25" customHeight="1" x14ac:dyDescent="0.2">
      <c r="B178" s="217" t="s">
        <v>512</v>
      </c>
      <c r="C178" s="148"/>
      <c r="D178" s="220" t="s">
        <v>505</v>
      </c>
      <c r="E178" s="27"/>
    </row>
    <row r="179" spans="2:5" s="5" customFormat="1" ht="35.25" customHeight="1" x14ac:dyDescent="0.2">
      <c r="B179" s="217"/>
      <c r="C179" s="148"/>
      <c r="D179" s="220"/>
      <c r="E179" s="27"/>
    </row>
    <row r="180" spans="2:5" s="5" customFormat="1" ht="35.25" customHeight="1" x14ac:dyDescent="0.2">
      <c r="B180" s="217"/>
      <c r="C180" s="148"/>
      <c r="D180" s="220"/>
      <c r="E180" s="27"/>
    </row>
    <row r="181" spans="2:5" s="5" customFormat="1" ht="35.25" customHeight="1" x14ac:dyDescent="0.2">
      <c r="B181" s="217"/>
      <c r="C181" s="148"/>
      <c r="D181" s="220"/>
      <c r="E181" s="27"/>
    </row>
    <row r="182" spans="2:5" s="5" customFormat="1" ht="35.25" customHeight="1" x14ac:dyDescent="0.2">
      <c r="B182" s="217"/>
      <c r="C182" s="148"/>
      <c r="D182" s="220"/>
      <c r="E182" s="27"/>
    </row>
    <row r="183" spans="2:5" s="5" customFormat="1" ht="35.25" customHeight="1" x14ac:dyDescent="0.2">
      <c r="B183" s="217"/>
      <c r="C183" s="148"/>
      <c r="D183" s="220"/>
      <c r="E183" s="27"/>
    </row>
    <row r="184" spans="2:5" s="5" customFormat="1" ht="35.25" customHeight="1" x14ac:dyDescent="0.2">
      <c r="B184" s="217"/>
      <c r="C184" s="148"/>
      <c r="D184" s="220"/>
      <c r="E184" s="27"/>
    </row>
    <row r="185" spans="2:5" s="5" customFormat="1" ht="35.25" customHeight="1" x14ac:dyDescent="0.2">
      <c r="B185" s="217"/>
      <c r="C185" s="148"/>
      <c r="D185" s="220"/>
      <c r="E185" s="27"/>
    </row>
    <row r="186" spans="2:5" s="5" customFormat="1" ht="35.25" customHeight="1" x14ac:dyDescent="0.2">
      <c r="B186" s="217"/>
      <c r="C186" s="148"/>
      <c r="D186" s="220"/>
      <c r="E186" s="27"/>
    </row>
    <row r="187" spans="2:5" s="5" customFormat="1" ht="35.25" customHeight="1" x14ac:dyDescent="0.2">
      <c r="B187" s="217"/>
      <c r="C187" s="149"/>
      <c r="D187" s="220"/>
    </row>
    <row r="188" spans="2:5" ht="15" x14ac:dyDescent="0.25">
      <c r="B188" s="278" t="s">
        <v>79</v>
      </c>
      <c r="C188" s="279"/>
      <c r="D188" s="280"/>
      <c r="E188" s="1"/>
    </row>
    <row r="189" spans="2:5" s="5" customFormat="1" ht="35.25" customHeight="1" x14ac:dyDescent="0.2">
      <c r="B189" s="217"/>
      <c r="C189" s="148"/>
      <c r="D189" s="220"/>
      <c r="E189" s="27"/>
    </row>
    <row r="190" spans="2:5" s="5" customFormat="1" ht="35.25" customHeight="1" x14ac:dyDescent="0.2">
      <c r="B190" s="217"/>
      <c r="C190" s="148"/>
      <c r="D190" s="220"/>
      <c r="E190" s="27"/>
    </row>
    <row r="191" spans="2:5" s="5" customFormat="1" ht="35.25" customHeight="1" x14ac:dyDescent="0.2">
      <c r="B191" s="217"/>
      <c r="C191" s="148"/>
      <c r="D191" s="220"/>
      <c r="E191" s="27"/>
    </row>
    <row r="192" spans="2:5" s="5" customFormat="1" ht="35.25" customHeight="1" x14ac:dyDescent="0.2">
      <c r="B192" s="217"/>
      <c r="C192" s="148"/>
      <c r="D192" s="220"/>
      <c r="E192" s="27"/>
    </row>
    <row r="193" spans="2:5" s="5" customFormat="1" ht="35.25" customHeight="1" x14ac:dyDescent="0.2">
      <c r="B193" s="217"/>
      <c r="C193" s="148"/>
      <c r="D193" s="220"/>
      <c r="E193" s="27"/>
    </row>
    <row r="194" spans="2:5" s="5" customFormat="1" ht="35.25" customHeight="1" x14ac:dyDescent="0.2">
      <c r="B194" s="217"/>
      <c r="C194" s="148"/>
      <c r="D194" s="220"/>
      <c r="E194" s="27"/>
    </row>
    <row r="195" spans="2:5" s="5" customFormat="1" ht="35.25" customHeight="1" x14ac:dyDescent="0.2">
      <c r="B195" s="217"/>
      <c r="C195" s="148"/>
      <c r="D195" s="220"/>
      <c r="E195" s="27"/>
    </row>
    <row r="196" spans="2:5" s="5" customFormat="1" ht="35.25" customHeight="1" x14ac:dyDescent="0.2">
      <c r="B196" s="217"/>
      <c r="C196" s="148"/>
      <c r="D196" s="220"/>
      <c r="E196" s="27"/>
    </row>
    <row r="197" spans="2:5" s="5" customFormat="1" ht="35.25" customHeight="1" x14ac:dyDescent="0.2">
      <c r="B197" s="217"/>
      <c r="C197" s="148"/>
      <c r="D197" s="220"/>
      <c r="E197" s="27"/>
    </row>
    <row r="198" spans="2:5" s="5" customFormat="1" ht="35.25" customHeight="1" x14ac:dyDescent="0.2">
      <c r="B198" s="217"/>
      <c r="C198" s="149"/>
      <c r="D198" s="220"/>
    </row>
    <row r="199" spans="2:5" ht="15" x14ac:dyDescent="0.25">
      <c r="B199" s="278" t="s">
        <v>81</v>
      </c>
      <c r="C199" s="279"/>
      <c r="D199" s="280"/>
      <c r="E199" s="1"/>
    </row>
    <row r="200" spans="2:5" s="5" customFormat="1" ht="35.25" customHeight="1" x14ac:dyDescent="0.2">
      <c r="B200" s="217"/>
      <c r="C200" s="148"/>
      <c r="D200" s="220"/>
      <c r="E200" s="27"/>
    </row>
    <row r="201" spans="2:5" s="5" customFormat="1" ht="35.25" customHeight="1" x14ac:dyDescent="0.2">
      <c r="B201" s="217"/>
      <c r="C201" s="148"/>
      <c r="D201" s="220"/>
      <c r="E201" s="27"/>
    </row>
    <row r="202" spans="2:5" s="5" customFormat="1" ht="35.25" customHeight="1" x14ac:dyDescent="0.2">
      <c r="B202" s="217"/>
      <c r="C202" s="148"/>
      <c r="D202" s="220"/>
      <c r="E202" s="27"/>
    </row>
    <row r="203" spans="2:5" s="5" customFormat="1" ht="35.25" customHeight="1" x14ac:dyDescent="0.2">
      <c r="B203" s="217"/>
      <c r="C203" s="148"/>
      <c r="D203" s="220"/>
      <c r="E203" s="27"/>
    </row>
    <row r="204" spans="2:5" s="5" customFormat="1" ht="35.25" customHeight="1" x14ac:dyDescent="0.2">
      <c r="B204" s="217"/>
      <c r="C204" s="148"/>
      <c r="D204" s="220"/>
      <c r="E204" s="27"/>
    </row>
    <row r="205" spans="2:5" s="5" customFormat="1" ht="35.25" customHeight="1" x14ac:dyDescent="0.2">
      <c r="B205" s="217"/>
      <c r="C205" s="148"/>
      <c r="D205" s="220"/>
      <c r="E205" s="27"/>
    </row>
    <row r="206" spans="2:5" s="5" customFormat="1" ht="35.25" customHeight="1" x14ac:dyDescent="0.2">
      <c r="B206" s="217"/>
      <c r="C206" s="148"/>
      <c r="D206" s="220"/>
      <c r="E206" s="27"/>
    </row>
    <row r="207" spans="2:5" s="5" customFormat="1" ht="35.25" customHeight="1" x14ac:dyDescent="0.2">
      <c r="B207" s="217"/>
      <c r="C207" s="148"/>
      <c r="D207" s="220"/>
      <c r="E207" s="27"/>
    </row>
    <row r="208" spans="2:5" s="5" customFormat="1" ht="35.25" customHeight="1" x14ac:dyDescent="0.2">
      <c r="B208" s="217"/>
      <c r="C208" s="148"/>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purl.org/dc/elements/1.1/"/>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purl.org/dc/dcmitype/"/>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2014-12-18T11:24:00Z</cp:lastPrinted>
  <dcterms:created xsi:type="dcterms:W3CDTF">2012-03-15T16:14:51Z</dcterms:created>
  <dcterms:modified xsi:type="dcterms:W3CDTF">2015-07-31T15:22:11Z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