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60" windowWidth="18120" windowHeight="570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K47" i="10" l="1"/>
  <c r="H44" i="10" l="1"/>
  <c r="P51" i="10"/>
  <c r="K51" i="10"/>
  <c r="J44" i="10"/>
  <c r="I44" i="10"/>
  <c r="P38" i="10"/>
  <c r="K38" i="10"/>
  <c r="C12" i="10"/>
  <c r="D12" i="10"/>
  <c r="K12" i="4"/>
  <c r="P52" i="10" l="1"/>
  <c r="N44" i="10"/>
  <c r="O44" i="10"/>
  <c r="P44" i="10"/>
  <c r="M44" i="10"/>
  <c r="P41" i="10"/>
  <c r="P46" i="10" s="1"/>
  <c r="P47" i="10" s="1"/>
  <c r="P50" i="10" s="1"/>
  <c r="P40" i="10"/>
  <c r="P37" i="10"/>
  <c r="O37" i="10"/>
  <c r="P17" i="10"/>
  <c r="P16" i="10"/>
  <c r="P15" i="10"/>
  <c r="O17" i="10"/>
  <c r="O16" i="10"/>
  <c r="O15" i="10"/>
  <c r="N17" i="10"/>
  <c r="M17" i="10"/>
  <c r="P12" i="10"/>
  <c r="N12" i="10"/>
  <c r="O12" i="10"/>
  <c r="M12" i="10"/>
  <c r="P7" i="10"/>
  <c r="P6" i="10"/>
  <c r="O7" i="10"/>
  <c r="O6" i="10"/>
  <c r="K52" i="10"/>
  <c r="K44" i="10"/>
  <c r="K41" i="10"/>
  <c r="K46" i="10" s="1"/>
  <c r="K50" i="10" s="1"/>
  <c r="K40" i="10"/>
  <c r="K37" i="10"/>
  <c r="K16" i="10"/>
  <c r="K17" i="10"/>
  <c r="K15" i="10"/>
  <c r="J17" i="10"/>
  <c r="J16" i="10"/>
  <c r="J15" i="10"/>
  <c r="I17" i="10"/>
  <c r="H17" i="10"/>
  <c r="K12" i="10"/>
  <c r="K7" i="10"/>
  <c r="K6" i="10"/>
  <c r="J12" i="10"/>
  <c r="J7" i="10"/>
  <c r="J6" i="10"/>
  <c r="I12" i="10"/>
  <c r="H12" i="10"/>
  <c r="J37" i="10"/>
  <c r="F46" i="10"/>
  <c r="F44" i="10"/>
  <c r="F41" i="10"/>
  <c r="F40" i="10"/>
  <c r="F37" i="10"/>
  <c r="E37" i="10"/>
  <c r="E17" i="10"/>
  <c r="D17" i="10"/>
  <c r="F17" i="10"/>
  <c r="E16" i="10"/>
  <c r="F6" i="10"/>
  <c r="E6" i="10"/>
  <c r="K54" i="18"/>
  <c r="E54" i="18"/>
  <c r="AS60" i="4"/>
  <c r="Q60" i="4"/>
  <c r="P60" i="4"/>
  <c r="Q54" i="18"/>
  <c r="Q12" i="4" s="1"/>
  <c r="K60" i="4"/>
  <c r="E60" i="4"/>
  <c r="F12" i="4"/>
  <c r="G12" i="4"/>
  <c r="H12" i="4"/>
  <c r="F5" i="4"/>
  <c r="G5" i="4"/>
  <c r="H5" i="4"/>
  <c r="E12" i="4" l="1"/>
  <c r="Q24" i="18" l="1"/>
  <c r="K24" i="18"/>
  <c r="E24" i="18"/>
  <c r="E12" i="10" l="1"/>
  <c r="F38" i="10"/>
  <c r="F16" i="10"/>
  <c r="F15" i="10"/>
  <c r="E15" i="10"/>
  <c r="C17" i="10"/>
  <c r="F12" i="10"/>
  <c r="F7" i="10"/>
  <c r="E7" i="10"/>
  <c r="AS12" i="4"/>
  <c r="AS5" i="4"/>
  <c r="J12" i="4"/>
  <c r="Q5" i="4"/>
  <c r="P5" i="4"/>
  <c r="K5" i="4"/>
  <c r="J5" i="4"/>
  <c r="J60" i="4"/>
  <c r="D60" i="4"/>
  <c r="D12" i="4"/>
  <c r="E5" i="4"/>
  <c r="D5" i="4"/>
  <c r="AS55" i="18"/>
  <c r="AS54" i="18"/>
  <c r="P55" i="18"/>
  <c r="P54" i="18"/>
  <c r="P12" i="4" s="1"/>
  <c r="D55" i="18"/>
  <c r="J55" i="18"/>
  <c r="J54" i="18"/>
  <c r="D54" i="18"/>
</calcChain>
</file>

<file path=xl/sharedStrings.xml><?xml version="1.0" encoding="utf-8"?>
<sst xmlns="http://schemas.openxmlformats.org/spreadsheetml/2006/main" count="590" uniqueCount="515">
  <si>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</si>
  <si>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</si>
  <si>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</si>
  <si>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</si>
  <si>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</si>
  <si>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</si>
  <si>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</si>
  <si>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</si>
  <si>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</si>
  <si>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</si>
  <si>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</si>
  <si>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</si>
  <si>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</si>
  <si>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</si>
  <si>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</si>
  <si>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</si>
  <si>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</si>
  <si>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</si>
  <si>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</si>
  <si>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</si>
  <si>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</si>
  <si>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</si>
  <si>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</si>
  <si>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</si>
  <si>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</si>
  <si>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</si>
  <si>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</si>
  <si>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</si>
  <si>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</si>
  <si>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</si>
  <si>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</si>
  <si>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</si>
  <si>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</si>
  <si>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</si>
  <si>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</si>
  <si>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</si>
  <si>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</si>
  <si>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</si>
  <si>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</si>
  <si>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</si>
  <si>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</si>
  <si>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</si>
  <si>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</si>
  <si>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</si>
  <si>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</si>
  <si>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</si>
  <si>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</si>
  <si>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</si>
  <si>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</si>
  <si>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</si>
  <si>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</si>
  <si>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</si>
  <si>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</si>
  <si>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</si>
  <si>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</si>
  <si>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</si>
  <si>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</si>
  <si>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</si>
  <si>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</si>
  <si>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</si>
  <si>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</si>
  <si>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</si>
  <si>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</si>
  <si>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</si>
  <si>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</si>
  <si>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</si>
  <si>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</si>
  <si>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</si>
  <si>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</si>
  <si>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</si>
  <si>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</si>
  <si>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</si>
  <si>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</si>
  <si>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</si>
  <si>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</si>
  <si>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</si>
  <si>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</si>
  <si>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</si>
  <si>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</si>
  <si>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</si>
  <si>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</si>
  <si>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</si>
  <si>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</si>
  <si>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</si>
  <si>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</si>
  <si>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</si>
  <si>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</si>
  <si>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</si>
  <si>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</si>
  <si>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</si>
  <si>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</si>
  <si>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</si>
  <si>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</si>
  <si>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</si>
  <si>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</si>
  <si>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</si>
  <si>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</si>
  <si>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</si>
  <si>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</si>
  <si>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</si>
  <si>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</si>
  <si>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</si>
  <si>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</si>
  <si>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</si>
  <si>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</si>
  <si>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</si>
  <si>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</si>
  <si>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</si>
  <si>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</si>
  <si>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</si>
  <si>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</si>
  <si>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</si>
  <si>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</si>
  <si>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</si>
  <si>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</si>
  <si>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</si>
  <si>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</si>
  <si>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</si>
  <si>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</si>
  <si>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</si>
  <si>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</si>
  <si>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</si>
  <si>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</si>
  <si>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</si>
  <si>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</si>
  <si>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</si>
  <si>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</si>
  <si>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</si>
  <si>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</si>
  <si>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</si>
  <si>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</si>
  <si>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</si>
  <si>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</si>
  <si>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</si>
  <si>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</si>
  <si>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</si>
  <si>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</si>
  <si>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</si>
  <si>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</si>
  <si>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</si>
  <si>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</si>
  <si>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</si>
  <si>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</si>
  <si>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</si>
  <si>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</si>
  <si>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</si>
  <si>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</si>
  <si>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</si>
  <si>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</si>
  <si>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</si>
  <si>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</si>
  <si>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</si>
  <si>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</si>
  <si>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</si>
  <si>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</si>
  <si>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</si>
  <si>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</si>
  <si>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</si>
  <si>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</si>
  <si>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</si>
  <si>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</si>
  <si>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</si>
  <si>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</si>
  <si>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</si>
  <si>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</si>
  <si>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</si>
  <si>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</si>
  <si>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</si>
  <si>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</si>
  <si>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</si>
  <si>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</si>
  <si>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</si>
  <si>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</si>
  <si>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</si>
  <si>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</si>
  <si>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</si>
  <si>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</si>
  <si>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</si>
  <si>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</si>
  <si>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</si>
  <si>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</si>
  <si>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</si>
  <si>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</si>
  <si>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</si>
  <si>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</si>
  <si>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</si>
  <si>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</si>
  <si>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</si>
  <si>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</si>
  <si>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</si>
  <si>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</si>
  <si>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</si>
  <si>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</si>
  <si>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</si>
  <si>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</si>
  <si>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</si>
  <si>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</si>
  <si>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</si>
  <si>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</si>
  <si>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</si>
  <si>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</si>
  <si>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</si>
  <si>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</si>
  <si>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</si>
  <si>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</si>
  <si>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</si>
  <si>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</si>
  <si>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</si>
  <si>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</si>
  <si>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</si>
  <si>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</si>
  <si>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</si>
  <si>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</si>
  <si>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</si>
  <si>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</si>
  <si>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</si>
  <si>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</si>
  <si>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</si>
  <si>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</si>
  <si>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</si>
  <si>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</si>
  <si>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</si>
  <si>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</si>
  <si>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</si>
  <si>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</si>
  <si>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</si>
  <si>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</si>
  <si>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</si>
  <si>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</si>
  <si>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</si>
  <si>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</si>
  <si>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</si>
  <si>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</si>
  <si>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</si>
  <si>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</si>
  <si>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</si>
  <si>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</si>
  <si>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</si>
  <si>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</si>
  <si>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</si>
  <si>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</si>
  <si>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</si>
  <si>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</si>
  <si>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</si>
  <si>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</si>
  <si>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</si>
  <si>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</si>
  <si>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</si>
  <si>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</si>
  <si>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</si>
  <si>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</si>
  <si>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</si>
  <si>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</si>
  <si>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</si>
  <si>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</si>
  <si>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</si>
  <si>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</si>
  <si>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</si>
  <si>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</si>
  <si>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</si>
  <si>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</si>
  <si>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</si>
  <si>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</si>
  <si>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</si>
  <si>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</si>
  <si>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</si>
  <si>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</si>
  <si>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</si>
  <si>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</si>
  <si>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</si>
  <si>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</si>
  <si>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</si>
  <si>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</si>
  <si>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</si>
  <si>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</si>
  <si>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</si>
  <si>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</si>
  <si>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</si>
  <si>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</si>
  <si>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</si>
  <si>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</si>
  <si>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</si>
  <si>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</si>
  <si>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</si>
  <si>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</si>
  <si>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</si>
  <si>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</si>
  <si>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</si>
  <si>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</si>
  <si>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</si>
  <si>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</si>
  <si>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</si>
  <si>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</si>
  <si>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</si>
  <si>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</si>
  <si>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</si>
  <si>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</si>
  <si>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</si>
  <si>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</si>
  <si>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</si>
  <si>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</si>
  <si>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</si>
  <si>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</si>
  <si>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</si>
  <si>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</si>
  <si>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</si>
  <si>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</si>
  <si>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</si>
  <si>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</si>
  <si>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</si>
  <si>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</si>
  <si>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</si>
  <si>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</si>
  <si>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</si>
  <si>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</si>
  <si>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</si>
  <si>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</si>
  <si>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</si>
  <si>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</si>
  <si>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</si>
  <si>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</si>
  <si>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</si>
  <si>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</si>
  <si>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</si>
  <si>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</si>
  <si>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</si>
  <si>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</si>
  <si>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</si>
  <si>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</si>
  <si>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</si>
  <si>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</si>
  <si>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</si>
  <si>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</si>
  <si>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</si>
  <si>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</si>
  <si>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</si>
  <si>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</si>
  <si>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</si>
  <si>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</si>
  <si>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</si>
  <si>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</si>
  <si>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</si>
  <si>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</si>
  <si>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</si>
  <si>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</si>
  <si>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</si>
  <si>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</si>
  <si>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</si>
  <si>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</si>
  <si>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</si>
  <si>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</si>
  <si>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</si>
  <si>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</si>
  <si>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</si>
  <si>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</si>
  <si>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</si>
  <si>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</si>
  <si>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</si>
  <si>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</si>
  <si>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</si>
  <si>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</si>
  <si>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</si>
  <si>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</si>
  <si>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</si>
  <si>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</si>
  <si>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</si>
  <si>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</si>
  <si>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</si>
  <si>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</si>
  <si>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</si>
  <si>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</si>
  <si>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</si>
  <si>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</si>
  <si>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</si>
  <si>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</si>
  <si>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</si>
  <si>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</si>
  <si>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</si>
  <si>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</si>
  <si>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</si>
  <si>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</si>
  <si>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</si>
  <si>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</si>
  <si>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</si>
  <si>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</si>
  <si>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</si>
  <si>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</si>
  <si>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</si>
  <si>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</si>
  <si>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</si>
  <si>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</si>
  <si>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</si>
  <si>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</si>
  <si>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</si>
  <si>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</si>
  <si>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</si>
  <si>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</si>
  <si>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</si>
  <si>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</si>
  <si>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</si>
  <si>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</si>
  <si>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</si>
  <si>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</si>
  <si>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</si>
  <si>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</si>
  <si>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</si>
  <si>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</si>
  <si>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</si>
  <si>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</si>
  <si>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</si>
  <si>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</si>
  <si>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</si>
  <si>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</si>
  <si>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</si>
  <si>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</si>
  <si>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</si>
  <si>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</si>
  <si>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</si>
  <si>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</si>
  <si>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</si>
  <si>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</si>
  <si>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</si>
  <si>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</si>
  <si>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</si>
  <si>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</si>
  <si>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</si>
  <si>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</si>
  <si>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</si>
  <si>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</si>
  <si>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</si>
  <si>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</si>
  <si>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</si>
  <si>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</si>
  <si>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</si>
  <si>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</si>
  <si>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</si>
  <si>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</si>
  <si>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</si>
  <si>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</si>
  <si>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</si>
  <si>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</si>
  <si>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</si>
  <si>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</si>
  <si>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</si>
  <si>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</si>
  <si>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</si>
  <si>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</si>
  <si>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</si>
  <si>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</si>
  <si>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</si>
  <si>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</si>
  <si>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</si>
  <si>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</si>
  <si>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</si>
  <si>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</si>
  <si>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</si>
  <si>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</si>
  <si>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</si>
  <si>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</si>
  <si>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</si>
  <si>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</si>
  <si>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</si>
  <si>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</si>
  <si>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</si>
  <si>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</si>
  <si>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</si>
  <si>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</si>
  <si>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</si>
  <si>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</si>
  <si>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</si>
  <si>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</si>
  <si>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</si>
  <si>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</si>
  <si>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</si>
  <si>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</si>
  <si>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</si>
  <si>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</si>
  <si>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</si>
  <si>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</si>
  <si>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</si>
  <si>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</si>
  <si>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</si>
  <si>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</si>
  <si>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</si>
  <si>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</si>
  <si>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</si>
  <si>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</si>
  <si>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</si>
  <si>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</si>
  <si>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</si>
  <si>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</si>
  <si>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</si>
  <si>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</si>
  <si>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</si>
  <si>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Grand Valley Health Plan</t>
  </si>
  <si>
    <t>2014</t>
  </si>
  <si>
    <t>829 Forest Hill Ave SE Grand Rapids, MI 49546</t>
  </si>
  <si>
    <t>382396958</t>
  </si>
  <si>
    <t>95453</t>
  </si>
  <si>
    <t>36622</t>
  </si>
  <si>
    <t>159</t>
  </si>
  <si>
    <t xml:space="preserve">   </t>
  </si>
  <si>
    <t>Claims</t>
  </si>
  <si>
    <t>Based on Actual Claims</t>
  </si>
  <si>
    <t>PCORI</t>
  </si>
  <si>
    <t>Based on Covered Lives</t>
  </si>
  <si>
    <t>Wages</t>
  </si>
  <si>
    <t>Other Expenses</t>
  </si>
  <si>
    <t>Based on actual hours spend at group location</t>
  </si>
  <si>
    <t>Based on claims incurred</t>
  </si>
  <si>
    <t>Wages &amp; Benefits</t>
  </si>
  <si>
    <t>Broker Commissions</t>
  </si>
  <si>
    <t>Other taxes</t>
  </si>
  <si>
    <t>General and administrative expenses</t>
  </si>
  <si>
    <t>Salaries and Conference Fees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</si>
</sst>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500</v>
      </c>
      <c r="B4" s="232" t="s">
        <v>45</v>
      </c>
      <c r="C4" s="378" t="s">
        <v>494</v>
      </c>
    </row>
    <row r="5" spans="1:6" x14ac:dyDescent="0.2">
      <c r="B5" s="232" t="s">
        <v>215</v>
      </c>
      <c r="C5" s="378"/>
    </row>
    <row r="6" spans="1:6" x14ac:dyDescent="0.2">
      <c r="B6" s="232" t="s">
        <v>216</v>
      </c>
      <c r="C6" s="378" t="s">
        <v>497</v>
      </c>
    </row>
    <row r="7" spans="1:6" x14ac:dyDescent="0.2">
      <c r="B7" s="232" t="s">
        <v>128</v>
      </c>
      <c r="C7" s="378"/>
    </row>
    <row r="8" spans="1:6" x14ac:dyDescent="0.2">
      <c r="B8" s="232" t="s">
        <v>36</v>
      </c>
      <c r="C8" s="378"/>
    </row>
    <row r="9" spans="1:6" x14ac:dyDescent="0.2">
      <c r="B9" s="232" t="s">
        <v>41</v>
      </c>
      <c r="C9" s="378" t="s">
        <v>498</v>
      </c>
    </row>
    <row r="10" spans="1:6" x14ac:dyDescent="0.2">
      <c r="B10" s="232" t="s">
        <v>58</v>
      </c>
      <c r="C10" s="378" t="s">
        <v>494</v>
      </c>
    </row>
    <row r="11" spans="1:6" x14ac:dyDescent="0.2">
      <c r="B11" s="232" t="s">
        <v>355</v>
      </c>
      <c r="C11" s="378" t="s">
        <v>499</v>
      </c>
    </row>
    <row r="12" spans="1:6" x14ac:dyDescent="0.2">
      <c r="B12" s="232" t="s">
        <v>35</v>
      </c>
      <c r="C12" s="378" t="s">
        <v>162</v>
      </c>
    </row>
    <row r="13" spans="1:6" x14ac:dyDescent="0.2">
      <c r="B13" s="232" t="s">
        <v>50</v>
      </c>
      <c r="C13" s="378" t="s">
        <v>162</v>
      </c>
    </row>
    <row r="14" spans="1:6" x14ac:dyDescent="0.2">
      <c r="B14" s="232" t="s">
        <v>51</v>
      </c>
      <c r="C14" s="378" t="s">
        <v>496</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495</v>
      </c>
    </row>
    <row r="19" spans="1:3" x14ac:dyDescent="0.2">
      <c r="A19" s="247" t="s">
        <v>488</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K40" activePane="bottomRight" state="frozen"/>
      <selection activeCell="B1" sqref="B1"/>
      <selection pane="topRight" activeCell="B1" sqref="B1"/>
      <selection pane="bottomLeft" activeCell="B1" sqref="B1"/>
      <selection pane="bottomRight" activeCell="Q50" sqref="Q50"/>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f>'Pt 2 Premium and Claims'!D5+'Pt 2 Premium and Claims'!D6-'Pt 2 Premium and Claims'!D7</f>
        <v>240871</v>
      </c>
      <c r="E5" s="105">
        <f>'Pt 2 Premium and Claims'!E5+'Pt 2 Premium and Claims'!E6-'Pt 2 Premium and Claims'!E7</f>
        <v>240871</v>
      </c>
      <c r="F5" s="105">
        <f>'Pt 2 Premium and Claims'!F5+'Pt 2 Premium and Claims'!F6-'Pt 2 Premium and Claims'!F7</f>
        <v>0</v>
      </c>
      <c r="G5" s="105">
        <f>'Pt 2 Premium and Claims'!G5+'Pt 2 Premium and Claims'!G6-'Pt 2 Premium and Claims'!G7</f>
        <v>0</v>
      </c>
      <c r="H5" s="105">
        <f>'Pt 2 Premium and Claims'!H5+'Pt 2 Premium and Claims'!H6-'Pt 2 Premium and Claims'!H7</f>
        <v>0</v>
      </c>
      <c r="I5" s="105"/>
      <c r="J5" s="105">
        <f>'Pt 2 Premium and Claims'!J5+'Pt 2 Premium and Claims'!J6-'Pt 2 Premium and Claims'!J7</f>
        <v>2128655</v>
      </c>
      <c r="K5" s="105">
        <f>'Pt 2 Premium and Claims'!K5+'Pt 2 Premium and Claims'!K6-'Pt 2 Premium and Claims'!K7</f>
        <v>2128656</v>
      </c>
      <c r="L5" s="106"/>
      <c r="M5" s="106"/>
      <c r="N5" s="106"/>
      <c r="O5" s="105"/>
      <c r="P5" s="105">
        <f>'Pt 2 Premium and Claims'!P5+'Pt 2 Premium and Claims'!P6-'Pt 2 Premium and Claims'!P7</f>
        <v>18997458</v>
      </c>
      <c r="Q5" s="105">
        <f>'Pt 2 Premium and Claims'!Q5+'Pt 2 Premium and Claims'!Q6-'Pt 2 Premium and Claims'!Q7</f>
        <v>18997458</v>
      </c>
      <c r="R5" s="106"/>
      <c r="S5" s="106"/>
      <c r="T5" s="106"/>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f>'Pt 2 Premium and Claims'!AS5+'Pt 2 Premium and Claims'!AS6-'Pt 2 Premium and Claims'!AS7</f>
        <v>421320</v>
      </c>
      <c r="AT5" s="105">
        <v>0</v>
      </c>
      <c r="AU5" s="107"/>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f>'Pt 2 Premium and Claims'!D54</f>
        <v>188087</v>
      </c>
      <c r="E12" s="106">
        <f>'Pt 2 Premium and Claims'!E24</f>
        <v>215162.36</v>
      </c>
      <c r="F12" s="106">
        <f>'Pt 2 Premium and Claims'!F24</f>
        <v>0</v>
      </c>
      <c r="G12" s="106">
        <f>'Pt 2 Premium and Claims'!G24</f>
        <v>0</v>
      </c>
      <c r="H12" s="106">
        <f>'Pt 2 Premium and Claims'!H24</f>
        <v>0</v>
      </c>
      <c r="I12" s="105"/>
      <c r="J12" s="105">
        <f>'Pt 2 Premium and Claims'!J54</f>
        <v>2412104</v>
      </c>
      <c r="K12" s="106">
        <f>'Pt 2 Premium and Claims'!K54</f>
        <v>3195322.26</v>
      </c>
      <c r="L12" s="106"/>
      <c r="M12" s="106"/>
      <c r="N12" s="106"/>
      <c r="O12" s="105"/>
      <c r="P12" s="105">
        <f>'Pt 2 Premium and Claims'!P54</f>
        <v>17714137</v>
      </c>
      <c r="Q12" s="106">
        <f>'Pt 2 Premium and Claims'!Q54</f>
        <v>18969071.75</v>
      </c>
      <c r="R12" s="106"/>
      <c r="S12" s="106"/>
      <c r="T12" s="106"/>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f>'Pt 2 Premium and Claims'!AS54</f>
        <v>204397</v>
      </c>
      <c r="AT12" s="107"/>
      <c r="AU12" s="107"/>
      <c r="AV12" s="312"/>
      <c r="AW12" s="317"/>
    </row>
    <row r="13" spans="1:49" ht="25.5" x14ac:dyDescent="0.2">
      <c r="B13" s="155" t="s">
        <v>230</v>
      </c>
      <c r="C13" s="62" t="s">
        <v>37</v>
      </c>
      <c r="D13" s="109"/>
      <c r="E13" s="110"/>
      <c r="F13" s="110"/>
      <c r="G13" s="289"/>
      <c r="H13" s="290"/>
      <c r="I13" s="109"/>
      <c r="J13" s="109">
        <v>295043</v>
      </c>
      <c r="K13" s="110"/>
      <c r="L13" s="110"/>
      <c r="M13" s="289"/>
      <c r="N13" s="290"/>
      <c r="O13" s="109"/>
      <c r="P13" s="109">
        <v>2166752</v>
      </c>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v>25273</v>
      </c>
      <c r="AT13" s="113"/>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c r="E22" s="115"/>
      <c r="F22" s="115"/>
      <c r="G22" s="115"/>
      <c r="H22" s="115"/>
      <c r="I22" s="114"/>
      <c r="J22" s="114"/>
      <c r="K22" s="115"/>
      <c r="L22" s="115"/>
      <c r="M22" s="115"/>
      <c r="N22" s="115"/>
      <c r="O22" s="114"/>
      <c r="P22" s="114"/>
      <c r="Q22" s="115"/>
      <c r="R22" s="115"/>
      <c r="S22" s="115"/>
      <c r="T22" s="115"/>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v>16</v>
      </c>
      <c r="E26" s="110">
        <v>16</v>
      </c>
      <c r="F26" s="110"/>
      <c r="G26" s="110"/>
      <c r="H26" s="110"/>
      <c r="I26" s="109"/>
      <c r="J26" s="109">
        <v>375</v>
      </c>
      <c r="K26" s="110">
        <v>375</v>
      </c>
      <c r="L26" s="110"/>
      <c r="M26" s="110"/>
      <c r="N26" s="110"/>
      <c r="O26" s="109"/>
      <c r="P26" s="109">
        <v>6975</v>
      </c>
      <c r="Q26" s="110">
        <v>6975</v>
      </c>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v>612</v>
      </c>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t="s">
        <v>501</v>
      </c>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v>792</v>
      </c>
      <c r="E41" s="110">
        <v>792</v>
      </c>
      <c r="F41" s="110"/>
      <c r="G41" s="110"/>
      <c r="H41" s="110"/>
      <c r="I41" s="109"/>
      <c r="J41" s="109">
        <v>4350</v>
      </c>
      <c r="K41" s="110">
        <v>4350</v>
      </c>
      <c r="L41" s="110"/>
      <c r="M41" s="110"/>
      <c r="N41" s="110"/>
      <c r="O41" s="109"/>
      <c r="P41" s="109">
        <v>31948</v>
      </c>
      <c r="Q41" s="110">
        <v>31948</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v>545</v>
      </c>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5592</v>
      </c>
      <c r="E44" s="118">
        <v>5592</v>
      </c>
      <c r="F44" s="118"/>
      <c r="G44" s="118"/>
      <c r="H44" s="118"/>
      <c r="I44" s="117"/>
      <c r="J44" s="117">
        <v>30729</v>
      </c>
      <c r="K44" s="118">
        <v>30729</v>
      </c>
      <c r="L44" s="118"/>
      <c r="M44" s="118"/>
      <c r="N44" s="118"/>
      <c r="O44" s="117"/>
      <c r="P44" s="117">
        <v>225671</v>
      </c>
      <c r="Q44" s="118">
        <v>225671</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v>2180</v>
      </c>
      <c r="AT45" s="113"/>
      <c r="AU45" s="113"/>
      <c r="AV45" s="113"/>
      <c r="AW45" s="318"/>
    </row>
    <row r="46" spans="1:49" x14ac:dyDescent="0.2">
      <c r="B46" s="161" t="s">
        <v>263</v>
      </c>
      <c r="C46" s="62" t="s">
        <v>20</v>
      </c>
      <c r="D46" s="109"/>
      <c r="E46" s="110"/>
      <c r="F46" s="110"/>
      <c r="G46" s="110"/>
      <c r="H46" s="110"/>
      <c r="I46" s="109"/>
      <c r="J46" s="109">
        <v>29895</v>
      </c>
      <c r="K46" s="110">
        <v>29895</v>
      </c>
      <c r="L46" s="110"/>
      <c r="M46" s="110"/>
      <c r="N46" s="110"/>
      <c r="O46" s="109"/>
      <c r="P46" s="109">
        <v>219545</v>
      </c>
      <c r="Q46" s="110">
        <v>219545</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2">
      <c r="B47" s="161" t="s">
        <v>264</v>
      </c>
      <c r="C47" s="62" t="s">
        <v>21</v>
      </c>
      <c r="D47" s="109"/>
      <c r="E47" s="110"/>
      <c r="F47" s="110"/>
      <c r="G47" s="110"/>
      <c r="H47" s="110"/>
      <c r="I47" s="109"/>
      <c r="J47" s="109">
        <v>33782</v>
      </c>
      <c r="K47" s="110">
        <v>33782</v>
      </c>
      <c r="L47" s="110"/>
      <c r="M47" s="110"/>
      <c r="N47" s="110"/>
      <c r="O47" s="109"/>
      <c r="P47" s="109">
        <v>248088</v>
      </c>
      <c r="Q47" s="110">
        <v>248088</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v>4958</v>
      </c>
      <c r="K49" s="110">
        <v>4958</v>
      </c>
      <c r="L49" s="110"/>
      <c r="M49" s="110"/>
      <c r="N49" s="110"/>
      <c r="O49" s="109"/>
      <c r="P49" s="109">
        <v>36409</v>
      </c>
      <c r="Q49" s="110">
        <v>36409</v>
      </c>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29158</v>
      </c>
      <c r="E51" s="110">
        <v>29158</v>
      </c>
      <c r="F51" s="110"/>
      <c r="G51" s="110"/>
      <c r="H51" s="110"/>
      <c r="I51" s="109"/>
      <c r="J51" s="109">
        <v>159938</v>
      </c>
      <c r="K51" s="110">
        <v>159938</v>
      </c>
      <c r="L51" s="110"/>
      <c r="M51" s="110"/>
      <c r="N51" s="110"/>
      <c r="O51" s="109"/>
      <c r="P51" s="109">
        <v>1156244</v>
      </c>
      <c r="Q51" s="110">
        <v>1156244</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8</v>
      </c>
      <c r="E56" s="122">
        <v>8</v>
      </c>
      <c r="F56" s="122"/>
      <c r="G56" s="122"/>
      <c r="H56" s="122"/>
      <c r="I56" s="121"/>
      <c r="J56" s="121">
        <v>144</v>
      </c>
      <c r="K56" s="122">
        <v>144</v>
      </c>
      <c r="L56" s="122"/>
      <c r="M56" s="122"/>
      <c r="N56" s="122"/>
      <c r="O56" s="121"/>
      <c r="P56" s="121">
        <v>2824</v>
      </c>
      <c r="Q56" s="122">
        <v>2824</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v>460</v>
      </c>
      <c r="AT56" s="123"/>
      <c r="AU56" s="123"/>
      <c r="AV56" s="123"/>
      <c r="AW56" s="309"/>
    </row>
    <row r="57" spans="2:49" x14ac:dyDescent="0.2">
      <c r="B57" s="161" t="s">
        <v>273</v>
      </c>
      <c r="C57" s="62" t="s">
        <v>25</v>
      </c>
      <c r="D57" s="124">
        <v>12</v>
      </c>
      <c r="E57" s="125">
        <v>12</v>
      </c>
      <c r="F57" s="125"/>
      <c r="G57" s="125"/>
      <c r="H57" s="125"/>
      <c r="I57" s="124"/>
      <c r="J57" s="124">
        <v>282</v>
      </c>
      <c r="K57" s="125">
        <v>282</v>
      </c>
      <c r="L57" s="125"/>
      <c r="M57" s="125"/>
      <c r="N57" s="125"/>
      <c r="O57" s="124"/>
      <c r="P57" s="124">
        <v>5241</v>
      </c>
      <c r="Q57" s="125">
        <v>5241</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v>460</v>
      </c>
      <c r="AT57" s="126"/>
      <c r="AU57" s="126"/>
      <c r="AV57" s="126"/>
      <c r="AW57" s="310"/>
    </row>
    <row r="58" spans="2:49" x14ac:dyDescent="0.2">
      <c r="B58" s="161" t="s">
        <v>274</v>
      </c>
      <c r="C58" s="62" t="s">
        <v>26</v>
      </c>
      <c r="D58" s="330"/>
      <c r="E58" s="331"/>
      <c r="F58" s="331"/>
      <c r="G58" s="331"/>
      <c r="H58" s="331"/>
      <c r="I58" s="330"/>
      <c r="J58" s="124">
        <v>46</v>
      </c>
      <c r="K58" s="125">
        <v>46</v>
      </c>
      <c r="L58" s="125"/>
      <c r="M58" s="125"/>
      <c r="N58" s="125"/>
      <c r="O58" s="124"/>
      <c r="P58" s="124">
        <v>49</v>
      </c>
      <c r="Q58" s="125">
        <v>49</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v>0</v>
      </c>
      <c r="AT58" s="126"/>
      <c r="AU58" s="126"/>
      <c r="AV58" s="126"/>
      <c r="AW58" s="310"/>
    </row>
    <row r="59" spans="2:49" x14ac:dyDescent="0.2">
      <c r="B59" s="161" t="s">
        <v>275</v>
      </c>
      <c r="C59" s="62" t="s">
        <v>27</v>
      </c>
      <c r="D59" s="124">
        <v>569</v>
      </c>
      <c r="E59" s="125">
        <v>569</v>
      </c>
      <c r="F59" s="125"/>
      <c r="G59" s="125"/>
      <c r="H59" s="125"/>
      <c r="I59" s="124"/>
      <c r="J59" s="124">
        <v>6856</v>
      </c>
      <c r="K59" s="125">
        <v>6856</v>
      </c>
      <c r="L59" s="125"/>
      <c r="M59" s="125"/>
      <c r="N59" s="125"/>
      <c r="O59" s="124"/>
      <c r="P59" s="124">
        <v>50530</v>
      </c>
      <c r="Q59" s="125">
        <v>50530</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v>4118</v>
      </c>
      <c r="AT59" s="126"/>
      <c r="AU59" s="126"/>
      <c r="AV59" s="126"/>
      <c r="AW59" s="310"/>
    </row>
    <row r="60" spans="2:49" x14ac:dyDescent="0.2">
      <c r="B60" s="161" t="s">
        <v>276</v>
      </c>
      <c r="C60" s="62"/>
      <c r="D60" s="127">
        <f>47</f>
        <v>47</v>
      </c>
      <c r="E60" s="127">
        <f>47</f>
        <v>47</v>
      </c>
      <c r="F60" s="128"/>
      <c r="G60" s="128"/>
      <c r="H60" s="128"/>
      <c r="I60" s="127"/>
      <c r="J60" s="127">
        <f>571</f>
        <v>571</v>
      </c>
      <c r="K60" s="127">
        <f>571</f>
        <v>571</v>
      </c>
      <c r="L60" s="128"/>
      <c r="M60" s="128"/>
      <c r="N60" s="128"/>
      <c r="O60" s="127"/>
      <c r="P60" s="127">
        <f>P59/12</f>
        <v>4210.833333333333</v>
      </c>
      <c r="Q60" s="127">
        <f>Q59/12</f>
        <v>4210.833333333333</v>
      </c>
      <c r="R60" s="128"/>
      <c r="S60" s="128"/>
      <c r="T60" s="128"/>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f>AS59/12</f>
        <v>343.16666666666669</v>
      </c>
      <c r="AT60" s="129"/>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G4" activePane="bottomRight" state="frozen"/>
      <selection activeCell="B1" sqref="B1"/>
      <selection pane="topRight" activeCell="B1" sqref="B1"/>
      <selection pane="bottomLeft" activeCell="B1" sqref="B1"/>
      <selection pane="bottomRight" activeCell="M6" sqref="M6"/>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236514</v>
      </c>
      <c r="E5" s="118">
        <v>236514</v>
      </c>
      <c r="F5" s="118"/>
      <c r="G5" s="130"/>
      <c r="H5" s="130"/>
      <c r="I5" s="117"/>
      <c r="J5" s="117">
        <v>2108436</v>
      </c>
      <c r="K5" s="118">
        <v>2108437</v>
      </c>
      <c r="L5" s="118"/>
      <c r="M5" s="118"/>
      <c r="N5" s="118"/>
      <c r="O5" s="117"/>
      <c r="P5" s="117">
        <v>19396472</v>
      </c>
      <c r="Q5" s="118">
        <v>19396472</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v>435026</v>
      </c>
      <c r="AT5" s="119"/>
      <c r="AU5" s="119"/>
      <c r="AV5" s="312"/>
      <c r="AW5" s="317"/>
    </row>
    <row r="6" spans="2:49" x14ac:dyDescent="0.2">
      <c r="B6" s="176" t="s">
        <v>279</v>
      </c>
      <c r="C6" s="133" t="s">
        <v>8</v>
      </c>
      <c r="D6" s="109">
        <v>10310</v>
      </c>
      <c r="E6" s="110">
        <v>10310</v>
      </c>
      <c r="F6" s="110"/>
      <c r="G6" s="111"/>
      <c r="H6" s="111"/>
      <c r="I6" s="109"/>
      <c r="J6" s="109">
        <v>85579</v>
      </c>
      <c r="K6" s="110">
        <v>85579</v>
      </c>
      <c r="L6" s="110"/>
      <c r="M6" s="110"/>
      <c r="N6" s="110"/>
      <c r="O6" s="109"/>
      <c r="P6" s="109">
        <v>135530</v>
      </c>
      <c r="Q6" s="110">
        <v>135530</v>
      </c>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v>27998</v>
      </c>
      <c r="AT6" s="113"/>
      <c r="AU6" s="113"/>
      <c r="AV6" s="311"/>
      <c r="AW6" s="318"/>
    </row>
    <row r="7" spans="2:49" x14ac:dyDescent="0.2">
      <c r="B7" s="176" t="s">
        <v>280</v>
      </c>
      <c r="C7" s="133" t="s">
        <v>9</v>
      </c>
      <c r="D7" s="109">
        <v>5953</v>
      </c>
      <c r="E7" s="110">
        <v>5953</v>
      </c>
      <c r="F7" s="110"/>
      <c r="G7" s="111"/>
      <c r="H7" s="111"/>
      <c r="I7" s="109"/>
      <c r="J7" s="109">
        <v>65360</v>
      </c>
      <c r="K7" s="110">
        <v>65360</v>
      </c>
      <c r="L7" s="110"/>
      <c r="M7" s="110"/>
      <c r="N7" s="110"/>
      <c r="O7" s="109"/>
      <c r="P7" s="109">
        <v>534544</v>
      </c>
      <c r="Q7" s="110">
        <v>534544</v>
      </c>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v>41704</v>
      </c>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486</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188087</v>
      </c>
      <c r="E23" s="288"/>
      <c r="F23" s="288"/>
      <c r="G23" s="288"/>
      <c r="H23" s="288"/>
      <c r="I23" s="292"/>
      <c r="J23" s="109">
        <v>2637915</v>
      </c>
      <c r="K23" s="288"/>
      <c r="L23" s="288"/>
      <c r="M23" s="288"/>
      <c r="N23" s="288"/>
      <c r="O23" s="292"/>
      <c r="P23" s="109">
        <v>17736038</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v>200834</v>
      </c>
      <c r="AT23" s="113"/>
      <c r="AU23" s="113"/>
      <c r="AV23" s="311"/>
      <c r="AW23" s="318"/>
    </row>
    <row r="24" spans="2:49" ht="28.5" customHeight="1" x14ac:dyDescent="0.2">
      <c r="B24" s="178" t="s">
        <v>114</v>
      </c>
      <c r="C24" s="133"/>
      <c r="D24" s="293"/>
      <c r="E24" s="110">
        <f>D23+27075.36</f>
        <v>215162.36</v>
      </c>
      <c r="F24" s="110"/>
      <c r="G24" s="110"/>
      <c r="H24" s="110"/>
      <c r="I24" s="109"/>
      <c r="J24" s="293"/>
      <c r="K24" s="110">
        <f>J23+537130.26</f>
        <v>3175045.26</v>
      </c>
      <c r="L24" s="110"/>
      <c r="M24" s="110"/>
      <c r="N24" s="110"/>
      <c r="O24" s="109"/>
      <c r="P24" s="293"/>
      <c r="Q24" s="110">
        <f>P23+823514.75</f>
        <v>18559552.75</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0</v>
      </c>
      <c r="E26" s="288"/>
      <c r="F26" s="288"/>
      <c r="G26" s="288"/>
      <c r="H26" s="288"/>
      <c r="I26" s="292"/>
      <c r="J26" s="109">
        <v>189093</v>
      </c>
      <c r="K26" s="288"/>
      <c r="L26" s="288"/>
      <c r="M26" s="288"/>
      <c r="N26" s="288"/>
      <c r="O26" s="292"/>
      <c r="P26" s="109">
        <v>1874278</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v>10553</v>
      </c>
      <c r="AT26" s="113"/>
      <c r="AU26" s="113"/>
      <c r="AV26" s="311"/>
      <c r="AW26" s="318"/>
    </row>
    <row r="27" spans="2:49" s="5" customFormat="1" ht="25.5" x14ac:dyDescent="0.2">
      <c r="B27" s="178" t="s">
        <v>85</v>
      </c>
      <c r="C27" s="133"/>
      <c r="D27" s="293"/>
      <c r="E27" s="110">
        <v>0</v>
      </c>
      <c r="F27" s="110"/>
      <c r="G27" s="110"/>
      <c r="H27" s="110"/>
      <c r="I27" s="109"/>
      <c r="J27" s="293"/>
      <c r="K27" s="110">
        <v>20277</v>
      </c>
      <c r="L27" s="110"/>
      <c r="M27" s="110"/>
      <c r="N27" s="110"/>
      <c r="O27" s="109"/>
      <c r="P27" s="293"/>
      <c r="Q27" s="110">
        <v>409519</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v>414904</v>
      </c>
      <c r="K28" s="289"/>
      <c r="L28" s="289"/>
      <c r="M28" s="289"/>
      <c r="N28" s="289"/>
      <c r="O28" s="293"/>
      <c r="P28" s="109">
        <v>1896179</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v>6990</v>
      </c>
      <c r="AT28" s="113"/>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f>D23</f>
        <v>188087</v>
      </c>
      <c r="E54" s="115">
        <f>E24+E27</f>
        <v>215162.36</v>
      </c>
      <c r="F54" s="115"/>
      <c r="G54" s="115"/>
      <c r="H54" s="115"/>
      <c r="I54" s="114"/>
      <c r="J54" s="114">
        <f>J23-J28+J26</f>
        <v>2412104</v>
      </c>
      <c r="K54" s="115">
        <f>K24+K27</f>
        <v>3195322.26</v>
      </c>
      <c r="L54" s="115"/>
      <c r="M54" s="115"/>
      <c r="N54" s="115"/>
      <c r="O54" s="114"/>
      <c r="P54" s="114">
        <f>P23-P28+P26</f>
        <v>17714137</v>
      </c>
      <c r="Q54" s="114">
        <f>Q24+Q27</f>
        <v>18969071.75</v>
      </c>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f>AS23-AS28+AS26</f>
        <v>204397</v>
      </c>
      <c r="AT54" s="116"/>
      <c r="AU54" s="116"/>
      <c r="AV54" s="311"/>
      <c r="AW54" s="318"/>
    </row>
    <row r="55" spans="2:49" ht="25.5" x14ac:dyDescent="0.2">
      <c r="B55" s="181" t="s">
        <v>304</v>
      </c>
      <c r="C55" s="137" t="s">
        <v>28</v>
      </c>
      <c r="D55" s="114">
        <f>D56</f>
        <v>0</v>
      </c>
      <c r="E55" s="115"/>
      <c r="F55" s="115"/>
      <c r="G55" s="115"/>
      <c r="H55" s="115"/>
      <c r="I55" s="114"/>
      <c r="J55" s="114">
        <f>J56</f>
        <v>0</v>
      </c>
      <c r="K55" s="115"/>
      <c r="L55" s="115"/>
      <c r="M55" s="115"/>
      <c r="N55" s="115"/>
      <c r="O55" s="114"/>
      <c r="P55" s="114">
        <f>P57</f>
        <v>0</v>
      </c>
      <c r="Q55" s="115"/>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f>AS56</f>
        <v>0</v>
      </c>
      <c r="AT55" s="116"/>
      <c r="AU55" s="116"/>
      <c r="AV55" s="311"/>
      <c r="AW55" s="318"/>
    </row>
    <row r="56" spans="2:49" ht="11.85" customHeight="1" x14ac:dyDescent="0.2">
      <c r="B56" s="176" t="s">
        <v>120</v>
      </c>
      <c r="C56" s="137" t="s">
        <v>452</v>
      </c>
      <c r="D56" s="109">
        <v>0</v>
      </c>
      <c r="E56" s="110"/>
      <c r="F56" s="110"/>
      <c r="G56" s="110"/>
      <c r="H56" s="110"/>
      <c r="I56" s="109"/>
      <c r="J56" s="109">
        <v>0</v>
      </c>
      <c r="K56" s="110"/>
      <c r="L56" s="110"/>
      <c r="M56" s="110"/>
      <c r="N56" s="110"/>
      <c r="O56" s="109"/>
      <c r="P56" s="109">
        <v>0</v>
      </c>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v>0</v>
      </c>
      <c r="AT56" s="113"/>
      <c r="AU56" s="113"/>
      <c r="AV56" s="113"/>
      <c r="AW56" s="318"/>
    </row>
    <row r="57" spans="2:49" x14ac:dyDescent="0.2">
      <c r="B57" s="176" t="s">
        <v>121</v>
      </c>
      <c r="C57" s="137" t="s">
        <v>29</v>
      </c>
      <c r="D57" s="109">
        <v>0</v>
      </c>
      <c r="E57" s="110"/>
      <c r="F57" s="110"/>
      <c r="G57" s="110"/>
      <c r="H57" s="110"/>
      <c r="I57" s="109"/>
      <c r="J57" s="109">
        <v>0</v>
      </c>
      <c r="K57" s="110"/>
      <c r="L57" s="110"/>
      <c r="M57" s="110"/>
      <c r="N57" s="110"/>
      <c r="O57" s="109"/>
      <c r="P57" s="109">
        <v>0</v>
      </c>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v>0</v>
      </c>
      <c r="AT57" s="113"/>
      <c r="AU57" s="113"/>
      <c r="AV57" s="113"/>
      <c r="AW57" s="318"/>
    </row>
    <row r="58" spans="2:49" s="5" customFormat="1" x14ac:dyDescent="0.2">
      <c r="B58" s="184" t="s">
        <v>485</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37" activePane="bottomRight" state="frozen"/>
      <selection activeCell="B1" sqref="B1"/>
      <selection pane="topRight" activeCell="B1" sqref="B1"/>
      <selection pane="bottomLeft" activeCell="B1" sqref="B1"/>
      <selection pane="bottomRight" activeCell="J60" sqref="J60"/>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281758</v>
      </c>
      <c r="D5" s="118">
        <v>314175</v>
      </c>
      <c r="E5" s="346"/>
      <c r="F5" s="346"/>
      <c r="G5" s="312"/>
      <c r="H5" s="117">
        <v>4691506</v>
      </c>
      <c r="I5" s="118">
        <v>4800549</v>
      </c>
      <c r="J5" s="346"/>
      <c r="K5" s="346"/>
      <c r="L5" s="312"/>
      <c r="M5" s="117">
        <v>19950646</v>
      </c>
      <c r="N5" s="118">
        <v>14883667</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310539</v>
      </c>
      <c r="D6" s="110">
        <v>357523</v>
      </c>
      <c r="E6" s="115">
        <f>'Pt 2 Premium and Claims'!E24</f>
        <v>215162.36</v>
      </c>
      <c r="F6" s="115">
        <f>E6+D6+C6</f>
        <v>883224.36</v>
      </c>
      <c r="G6" s="116"/>
      <c r="H6" s="109">
        <v>4888760</v>
      </c>
      <c r="I6" s="110">
        <v>5268374</v>
      </c>
      <c r="J6" s="115">
        <f>'Pt 2 Premium and Claims'!K54</f>
        <v>3195322.26</v>
      </c>
      <c r="K6" s="115">
        <f>H6+I6+J6</f>
        <v>13352456.26</v>
      </c>
      <c r="L6" s="116"/>
      <c r="M6" s="109">
        <v>21441899</v>
      </c>
      <c r="N6" s="110">
        <v>16345815</v>
      </c>
      <c r="O6" s="115">
        <f>'Pt 1 Summary of Data'!Q12</f>
        <v>18969071.75</v>
      </c>
      <c r="P6" s="115">
        <f>O6+N6+M6</f>
        <v>56756785.75</v>
      </c>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v>517</v>
      </c>
      <c r="D7" s="110">
        <v>854</v>
      </c>
      <c r="E7" s="115">
        <f>'Pt 1 Summary of Data'!D41</f>
        <v>792</v>
      </c>
      <c r="F7" s="115">
        <f>E7+D7+C7</f>
        <v>2163</v>
      </c>
      <c r="G7" s="116"/>
      <c r="H7" s="109">
        <v>10970</v>
      </c>
      <c r="I7" s="110">
        <v>22081</v>
      </c>
      <c r="J7" s="115">
        <f>'Pt 1 Summary of Data'!K41</f>
        <v>4350</v>
      </c>
      <c r="K7" s="115">
        <f>H7+I7+J7</f>
        <v>37401</v>
      </c>
      <c r="L7" s="116"/>
      <c r="M7" s="109">
        <v>47428</v>
      </c>
      <c r="N7" s="110">
        <v>42279</v>
      </c>
      <c r="O7" s="115">
        <f>'Pt 1 Summary of Data'!Q41</f>
        <v>31948</v>
      </c>
      <c r="P7" s="115">
        <f>O7+N7+M7</f>
        <v>121655</v>
      </c>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484</v>
      </c>
      <c r="C8" s="293"/>
      <c r="D8" s="289"/>
      <c r="E8" s="269"/>
      <c r="F8" s="269"/>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c r="F9" s="115"/>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c r="F10" s="115"/>
      <c r="G10" s="116"/>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479</v>
      </c>
      <c r="C11" s="292"/>
      <c r="D11" s="288"/>
      <c r="E11" s="115"/>
      <c r="F11" s="115"/>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5">
        <f t="shared" ref="C12:D12" si="0">C7+C6</f>
        <v>311056</v>
      </c>
      <c r="D12" s="115">
        <f t="shared" si="0"/>
        <v>358377</v>
      </c>
      <c r="E12" s="115">
        <f>E7+E6</f>
        <v>215954.36</v>
      </c>
      <c r="F12" s="115">
        <f>E12+D12+C12</f>
        <v>885387.36</v>
      </c>
      <c r="G12" s="311"/>
      <c r="H12" s="114">
        <f>H6+H7</f>
        <v>4899730</v>
      </c>
      <c r="I12" s="114">
        <f>I6+I7</f>
        <v>5290455</v>
      </c>
      <c r="J12" s="115">
        <f>J6+J7</f>
        <v>3199672.26</v>
      </c>
      <c r="K12" s="115">
        <f>H12+I12+J12</f>
        <v>13389857.26</v>
      </c>
      <c r="L12" s="311"/>
      <c r="M12" s="114">
        <f>M6+M7</f>
        <v>21489327</v>
      </c>
      <c r="N12" s="114">
        <f t="shared" ref="N12:O12" si="1">N6+N7</f>
        <v>16388094</v>
      </c>
      <c r="O12" s="114">
        <f t="shared" si="1"/>
        <v>19001019.75</v>
      </c>
      <c r="P12" s="114">
        <f>P6+P7</f>
        <v>56878440.75</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7" thickTop="1" thickBot="1" x14ac:dyDescent="0.25">
      <c r="B15" s="193" t="s">
        <v>487</v>
      </c>
      <c r="C15" s="117">
        <v>339242</v>
      </c>
      <c r="D15" s="118">
        <v>355233</v>
      </c>
      <c r="E15" s="106">
        <f>'Pt 2 Premium and Claims'!D5+'Pt 2 Premium and Claims'!D6-'Pt 2 Premium and Claims'!D7</f>
        <v>240871</v>
      </c>
      <c r="F15" s="106">
        <f>E15+D15+C15</f>
        <v>935346</v>
      </c>
      <c r="G15" s="107"/>
      <c r="H15" s="117">
        <v>4785652</v>
      </c>
      <c r="I15" s="118">
        <v>4054566</v>
      </c>
      <c r="J15" s="106">
        <f>'Pt 2 Premium and Claims'!K5+'Pt 2 Premium and Claims'!K6-'Pt 2 Premium and Claims'!K7</f>
        <v>2128656</v>
      </c>
      <c r="K15" s="106">
        <f>H15+I15+J15</f>
        <v>10968874</v>
      </c>
      <c r="L15" s="107"/>
      <c r="M15" s="117">
        <v>20735187</v>
      </c>
      <c r="N15" s="118">
        <v>17168525</v>
      </c>
      <c r="O15" s="106">
        <f>'Pt 1 Summary of Data'!Q5</f>
        <v>18997458</v>
      </c>
      <c r="P15" s="106">
        <f>O15+N15+M15</f>
        <v>56901170</v>
      </c>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ht="14.25" thickTop="1" thickBot="1" x14ac:dyDescent="0.25">
      <c r="B16" s="191" t="s">
        <v>313</v>
      </c>
      <c r="C16" s="109">
        <v>0</v>
      </c>
      <c r="D16" s="110">
        <v>101</v>
      </c>
      <c r="E16" s="115">
        <f>'Pt 1 Summary of Data'!E26</f>
        <v>16</v>
      </c>
      <c r="F16" s="115">
        <f>E16+D16+C16</f>
        <v>117</v>
      </c>
      <c r="G16" s="116"/>
      <c r="H16" s="109"/>
      <c r="I16" s="110">
        <v>1141</v>
      </c>
      <c r="J16" s="115">
        <f>'Pt 1 Summary of Data'!K26</f>
        <v>375</v>
      </c>
      <c r="K16" s="106">
        <f t="shared" ref="K16:K17" si="2">H16+I16+J16</f>
        <v>1516</v>
      </c>
      <c r="L16" s="116"/>
      <c r="M16" s="109">
        <v>0</v>
      </c>
      <c r="N16" s="110">
        <v>4420</v>
      </c>
      <c r="O16" s="115">
        <f>'Pt 1 Summary of Data'!Q26</f>
        <v>6975</v>
      </c>
      <c r="P16" s="115">
        <f>O16+N16</f>
        <v>11395</v>
      </c>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ht="13.5" thickTop="1" x14ac:dyDescent="0.2">
      <c r="A17" s="143"/>
      <c r="B17" s="192" t="s">
        <v>320</v>
      </c>
      <c r="C17" s="114">
        <f>C15</f>
        <v>339242</v>
      </c>
      <c r="D17" s="115">
        <f>D15-D16</f>
        <v>355132</v>
      </c>
      <c r="E17" s="115">
        <f>E15-E16</f>
        <v>240855</v>
      </c>
      <c r="F17" s="115">
        <f>D17+E17+C17</f>
        <v>935229</v>
      </c>
      <c r="G17" s="314"/>
      <c r="H17" s="114">
        <f>H15-H16</f>
        <v>4785652</v>
      </c>
      <c r="I17" s="114">
        <f>I15-I16</f>
        <v>4053425</v>
      </c>
      <c r="J17" s="115">
        <f>J15-J16</f>
        <v>2128281</v>
      </c>
      <c r="K17" s="106">
        <f t="shared" si="2"/>
        <v>10967358</v>
      </c>
      <c r="L17" s="314"/>
      <c r="M17" s="114">
        <f>M15-M16</f>
        <v>20735187</v>
      </c>
      <c r="N17" s="114">
        <f>N15-N16</f>
        <v>17164105</v>
      </c>
      <c r="O17" s="114">
        <f>O15-O16</f>
        <v>18990483</v>
      </c>
      <c r="P17" s="115">
        <f>O17+N17+M17</f>
        <v>56889775</v>
      </c>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7.25" thickBot="1" x14ac:dyDescent="0.3">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489</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482</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490</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491</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473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474</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478</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475</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476</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477</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480</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481</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76</v>
      </c>
      <c r="D37" s="122">
        <v>76</v>
      </c>
      <c r="E37" s="256">
        <f>'Pt 1 Summary of Data'!E60</f>
        <v>47</v>
      </c>
      <c r="F37" s="256">
        <f>+E37+D37+C37</f>
        <v>199</v>
      </c>
      <c r="G37" s="312"/>
      <c r="H37" s="121">
        <v>1229</v>
      </c>
      <c r="I37" s="122">
        <v>940</v>
      </c>
      <c r="J37" s="256">
        <f>'Pt 1 Summary of Data'!K60</f>
        <v>571</v>
      </c>
      <c r="K37" s="256">
        <f>J37+I37+H37</f>
        <v>2740</v>
      </c>
      <c r="L37" s="312"/>
      <c r="M37" s="121">
        <v>5004</v>
      </c>
      <c r="N37" s="122">
        <v>3760</v>
      </c>
      <c r="O37" s="256">
        <f>'Pt 1 Summary of Data'!Q60</f>
        <v>4210.833333333333</v>
      </c>
      <c r="P37" s="256">
        <f>O37+N37+M37</f>
        <v>12974.833333333332</v>
      </c>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f>0</f>
        <v>0</v>
      </c>
      <c r="G38" s="353"/>
      <c r="H38" s="351"/>
      <c r="I38" s="352"/>
      <c r="J38" s="352"/>
      <c r="K38" s="267">
        <f>0.05</f>
        <v>0.05</v>
      </c>
      <c r="L38" s="353"/>
      <c r="M38" s="351"/>
      <c r="N38" s="352"/>
      <c r="O38" s="352"/>
      <c r="P38" s="267">
        <f>0.024</f>
        <v>2.4E-2</v>
      </c>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f>1</f>
        <v>1</v>
      </c>
      <c r="G40" s="311"/>
      <c r="H40" s="292"/>
      <c r="I40" s="288"/>
      <c r="J40" s="288"/>
      <c r="K40" s="258">
        <f>1</f>
        <v>1</v>
      </c>
      <c r="L40" s="311"/>
      <c r="M40" s="292"/>
      <c r="N40" s="288"/>
      <c r="O40" s="288"/>
      <c r="P40" s="258">
        <f>1</f>
        <v>1</v>
      </c>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f>0</f>
        <v>0</v>
      </c>
      <c r="G41" s="311"/>
      <c r="H41" s="292"/>
      <c r="I41" s="288"/>
      <c r="J41" s="288"/>
      <c r="K41" s="260">
        <f>K38</f>
        <v>0.05</v>
      </c>
      <c r="L41" s="311"/>
      <c r="M41" s="292"/>
      <c r="N41" s="288"/>
      <c r="O41" s="288"/>
      <c r="P41" s="260">
        <f>P38</f>
        <v>2.4E-2</v>
      </c>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492</v>
      </c>
      <c r="C44" s="262"/>
      <c r="D44" s="260"/>
      <c r="E44" s="260"/>
      <c r="F44" s="260">
        <f>IF(OR(H$37&lt;1000,H$17&lt;=0),"",H$13/H$17)</f>
        <v>0</v>
      </c>
      <c r="G44" s="311"/>
      <c r="H44" s="262">
        <f>H12/H17</f>
        <v>1.02383750427319</v>
      </c>
      <c r="I44" s="262">
        <f>I12/I17</f>
        <v>1.3051814206504375</v>
      </c>
      <c r="J44" s="262">
        <f>J12/J17</f>
        <v>1.5034068621577694</v>
      </c>
      <c r="K44" s="262">
        <f t="shared" ref="K44" si="3">IF(K37&lt;1000,0,K12/K17)</f>
        <v>1.2208826647219868</v>
      </c>
      <c r="L44" s="311"/>
      <c r="M44" s="262">
        <f>IF(M37&lt;1000,0,M12/M17)</f>
        <v>1.036370060226609</v>
      </c>
      <c r="N44" s="262">
        <f t="shared" ref="N44:P44" si="4">IF(N37&lt;1000,0,N12/N17)</f>
        <v>0.95478872915307844</v>
      </c>
      <c r="O44" s="262">
        <f t="shared" si="4"/>
        <v>1.0005548437077667</v>
      </c>
      <c r="P44" s="262">
        <f t="shared" si="4"/>
        <v>0.99980076823998687</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493</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f>F41</f>
        <v>0</v>
      </c>
      <c r="G46" s="311"/>
      <c r="H46" s="292"/>
      <c r="I46" s="288"/>
      <c r="J46" s="288"/>
      <c r="K46" s="260">
        <f>K41</f>
        <v>0.05</v>
      </c>
      <c r="L46" s="311"/>
      <c r="M46" s="292"/>
      <c r="N46" s="288"/>
      <c r="O46" s="288"/>
      <c r="P46" s="260">
        <f>P41</f>
        <v>2.4E-2</v>
      </c>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c r="G47" s="311"/>
      <c r="H47" s="292"/>
      <c r="I47" s="288"/>
      <c r="J47" s="288"/>
      <c r="K47" s="260">
        <f>K44+K46+0.001</f>
        <v>1.2718826647219867</v>
      </c>
      <c r="L47" s="311"/>
      <c r="M47" s="292"/>
      <c r="N47" s="288"/>
      <c r="O47" s="288"/>
      <c r="P47" s="260">
        <f>P44+P46</f>
        <v>1.0238007682399868</v>
      </c>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v>0</v>
      </c>
      <c r="G50" s="311"/>
      <c r="H50" s="293"/>
      <c r="I50" s="289"/>
      <c r="J50" s="289"/>
      <c r="K50" s="260">
        <f>K47</f>
        <v>1.2718826647219867</v>
      </c>
      <c r="L50" s="311"/>
      <c r="M50" s="293"/>
      <c r="N50" s="289"/>
      <c r="O50" s="289"/>
      <c r="P50" s="260">
        <f>P47</f>
        <v>1.0238007682399868</v>
      </c>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v>0</v>
      </c>
      <c r="G51" s="311"/>
      <c r="H51" s="292"/>
      <c r="I51" s="288"/>
      <c r="J51" s="288"/>
      <c r="K51" s="115">
        <f>J15-J16</f>
        <v>2128281</v>
      </c>
      <c r="L51" s="311"/>
      <c r="M51" s="292"/>
      <c r="N51" s="288"/>
      <c r="O51" s="288"/>
      <c r="P51" s="115">
        <f>O15-O16</f>
        <v>18990483</v>
      </c>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f>0</f>
        <v>0</v>
      </c>
      <c r="L52" s="311"/>
      <c r="M52" s="292"/>
      <c r="N52" s="288"/>
      <c r="O52" s="288"/>
      <c r="P52" s="115">
        <f>0</f>
        <v>0</v>
      </c>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3"/>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8</v>
      </c>
      <c r="D4" s="149">
        <v>144</v>
      </c>
      <c r="E4" s="149">
        <v>2824</v>
      </c>
      <c r="F4" s="149"/>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c r="D11" s="119"/>
      <c r="E11" s="119"/>
      <c r="F11" s="119"/>
      <c r="G11" s="119"/>
      <c r="H11" s="119"/>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93" sqref="B193"/>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t="s">
        <v>502</v>
      </c>
      <c r="C5" s="150"/>
      <c r="D5" s="221" t="s">
        <v>503</v>
      </c>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t="s">
        <v>504</v>
      </c>
      <c r="C27" s="150"/>
      <c r="D27" s="223" t="s">
        <v>505</v>
      </c>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t="s">
        <v>506</v>
      </c>
      <c r="C89" s="152"/>
      <c r="D89" s="222" t="s">
        <v>508</v>
      </c>
      <c r="E89" s="7"/>
    </row>
    <row r="90" spans="2:5" ht="35.25" customHeight="1" x14ac:dyDescent="0.2">
      <c r="B90" s="219" t="s">
        <v>507</v>
      </c>
      <c r="C90" s="152"/>
      <c r="D90" s="222" t="s">
        <v>508</v>
      </c>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t="s">
        <v>506</v>
      </c>
      <c r="C100" s="152"/>
      <c r="D100" s="222" t="s">
        <v>509</v>
      </c>
      <c r="E100" s="7"/>
    </row>
    <row r="101" spans="2:5" ht="35.25" customHeight="1" x14ac:dyDescent="0.2">
      <c r="B101" s="219" t="s">
        <v>507</v>
      </c>
      <c r="C101" s="152"/>
      <c r="D101" s="222" t="s">
        <v>509</v>
      </c>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t="s">
        <v>506</v>
      </c>
      <c r="C123" s="150"/>
      <c r="D123" s="222" t="s">
        <v>509</v>
      </c>
      <c r="E123" s="7"/>
    </row>
    <row r="124" spans="2:5" s="5" customFormat="1" ht="35.25" customHeight="1" x14ac:dyDescent="0.2">
      <c r="B124" s="219" t="s">
        <v>507</v>
      </c>
      <c r="C124" s="150"/>
      <c r="D124" s="222" t="s">
        <v>509</v>
      </c>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t="s">
        <v>510</v>
      </c>
      <c r="C145" s="150"/>
      <c r="D145" s="222" t="s">
        <v>509</v>
      </c>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t="s">
        <v>511</v>
      </c>
      <c r="C156" s="150"/>
      <c r="D156" s="222" t="s">
        <v>509</v>
      </c>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t="s">
        <v>512</v>
      </c>
      <c r="C167" s="150"/>
      <c r="D167" s="222" t="s">
        <v>509</v>
      </c>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t="s">
        <v>513</v>
      </c>
      <c r="C178" s="150"/>
      <c r="D178" s="222" t="s">
        <v>509</v>
      </c>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t="s">
        <v>514</v>
      </c>
      <c r="C200" s="150"/>
      <c r="D200" s="222" t="s">
        <v>509</v>
      </c>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2.xml><?xml version="1.0" encoding="utf-8"?>
<ds:datastoreItem xmlns:ds="http://schemas.openxmlformats.org/officeDocument/2006/customXml" ds:itemID="{72AEC57B-F62A-4F4B-9F17-8493B708A382}">
  <ds:schemaRefs>
    <ds:schemaRef ds:uri="http://schemas.microsoft.com/office/2006/documentManagement/types"/>
    <ds:schemaRef ds:uri="http://purl.org/dc/terms/"/>
    <ds:schemaRef ds:uri="http://www.w3.org/XML/1998/namespace"/>
    <ds:schemaRef ds:uri="http://schemas.microsoft.com/office/2006/metadata/properties"/>
    <ds:schemaRef ds:uri="http://purl.org/dc/elements/1.1/"/>
    <ds:schemaRef ds:uri="http://purl.org/dc/dcmitype/"/>
    <ds:schemaRef ds:uri="http://schemas.openxmlformats.org/package/2006/metadata/core-properties"/>
  </ds:schemaRefs>
</ds:datastoreItem>
</file>

<file path=customXml/itemProps3.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Thom Monroe</cp:lastModifiedBy>
  <cp:lastPrinted>2014-12-18T11:24:00Z</cp:lastPrinted>
  <dcterms:created xsi:type="dcterms:W3CDTF">2012-03-15T16:14:51Z</dcterms:created>
  <dcterms:modified xsi:type="dcterms:W3CDTF">2015-07-28T19:25:13Z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