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12613" yWindow="-13" windowWidth="12633" windowHeight="11687" tabRatio="843"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L20" i="10" l="1"/>
  <c r="G20" i="10"/>
  <c r="G16" i="10" l="1"/>
  <c r="I54" i="18" l="1"/>
  <c r="E4" i="16" l="1"/>
  <c r="D4" i="16"/>
  <c r="C4" i="16"/>
  <c r="D54" i="18"/>
  <c r="L10" i="10" l="1"/>
  <c r="G10" i="10" l="1"/>
  <c r="G9" i="10"/>
  <c r="F54" i="18" l="1"/>
  <c r="E54" i="18"/>
  <c r="F41" i="10" l="1"/>
  <c r="K41" i="10"/>
  <c r="P41" i="10"/>
  <c r="O7" i="10"/>
  <c r="P7" i="10" s="1"/>
  <c r="O16" i="10"/>
  <c r="L16" i="10"/>
  <c r="L7" i="10"/>
  <c r="J16" i="10"/>
  <c r="J11" i="10"/>
  <c r="J10" i="10"/>
  <c r="K10" i="10" s="1"/>
  <c r="J7" i="10"/>
  <c r="G7" i="10"/>
  <c r="D17" i="10"/>
  <c r="C17" i="10"/>
  <c r="H17" i="10"/>
  <c r="I17" i="10"/>
  <c r="N17" i="10"/>
  <c r="M17" i="10"/>
  <c r="E16" i="10"/>
  <c r="F16" i="10" s="1"/>
  <c r="N12" i="10"/>
  <c r="N44" i="10" s="1"/>
  <c r="M12" i="10"/>
  <c r="I12" i="10"/>
  <c r="I44" i="10" s="1"/>
  <c r="D12" i="10"/>
  <c r="D44" i="10" s="1"/>
  <c r="C12" i="10"/>
  <c r="K11" i="10"/>
  <c r="E11" i="10"/>
  <c r="F11" i="10" s="1"/>
  <c r="E10" i="10"/>
  <c r="F10" i="10" s="1"/>
  <c r="E9" i="10"/>
  <c r="F9" i="10" s="1"/>
  <c r="E7" i="10"/>
  <c r="F7" i="10" s="1"/>
  <c r="M44" i="10" l="1"/>
  <c r="C44" i="10"/>
  <c r="K7" i="10"/>
  <c r="K16" i="10"/>
  <c r="P16" i="10"/>
  <c r="AA55" i="18"/>
  <c r="AA54" i="18"/>
  <c r="AA12" i="4" s="1"/>
  <c r="X55" i="18"/>
  <c r="X54" i="18"/>
  <c r="X12" i="4" s="1"/>
  <c r="U55" i="18"/>
  <c r="U54" i="18"/>
  <c r="U12" i="4" s="1"/>
  <c r="AB55" i="18"/>
  <c r="AB22" i="4" s="1"/>
  <c r="AB54" i="18"/>
  <c r="AB12" i="4" s="1"/>
  <c r="AC55" i="18"/>
  <c r="AC22" i="4" s="1"/>
  <c r="AC54" i="18"/>
  <c r="AC12" i="4" s="1"/>
  <c r="Z55" i="18"/>
  <c r="Z22" i="4" s="1"/>
  <c r="Z54" i="18"/>
  <c r="Z12" i="4" s="1"/>
  <c r="Y55" i="18"/>
  <c r="Y22" i="4" s="1"/>
  <c r="Y54" i="18"/>
  <c r="Y12" i="4" s="1"/>
  <c r="W55" i="18"/>
  <c r="W22" i="4" s="1"/>
  <c r="V55" i="18"/>
  <c r="V22" i="4" s="1"/>
  <c r="W54" i="18"/>
  <c r="V54" i="18"/>
  <c r="AU55" i="18"/>
  <c r="AU22" i="4" s="1"/>
  <c r="AT55" i="18"/>
  <c r="AS55" i="18"/>
  <c r="AS22" i="4" s="1"/>
  <c r="T55" i="18"/>
  <c r="T22" i="4" s="1"/>
  <c r="S55" i="18"/>
  <c r="S22" i="4" s="1"/>
  <c r="R55" i="18"/>
  <c r="Q55" i="18"/>
  <c r="Q22" i="4" s="1"/>
  <c r="P55" i="18"/>
  <c r="O55" i="18"/>
  <c r="O22" i="4" s="1"/>
  <c r="N55" i="18"/>
  <c r="M55" i="18"/>
  <c r="M22" i="4" s="1"/>
  <c r="L55" i="18"/>
  <c r="K55" i="18"/>
  <c r="J55" i="18"/>
  <c r="J22" i="4" s="1"/>
  <c r="I55" i="18"/>
  <c r="I22" i="4" s="1"/>
  <c r="H55" i="18"/>
  <c r="H22" i="4" s="1"/>
  <c r="G55" i="18"/>
  <c r="G22" i="4" s="1"/>
  <c r="F55" i="18"/>
  <c r="E55" i="18"/>
  <c r="D55" i="18"/>
  <c r="T54" i="18"/>
  <c r="S54" i="18"/>
  <c r="R54" i="18"/>
  <c r="O54" i="18"/>
  <c r="O12" i="4" s="1"/>
  <c r="N54" i="18"/>
  <c r="N12" i="4" s="1"/>
  <c r="M54" i="18"/>
  <c r="M12" i="4" s="1"/>
  <c r="L54" i="18"/>
  <c r="I12" i="4"/>
  <c r="H54" i="18"/>
  <c r="H12" i="4" s="1"/>
  <c r="G54" i="18"/>
  <c r="G12" i="4" s="1"/>
  <c r="F12" i="4"/>
  <c r="Q54" i="18"/>
  <c r="Q12" i="4" s="1"/>
  <c r="K54" i="18"/>
  <c r="K12" i="4" s="1"/>
  <c r="E12" i="4"/>
  <c r="AU54" i="18"/>
  <c r="AT54" i="18"/>
  <c r="AT12" i="4" s="1"/>
  <c r="AS54" i="18"/>
  <c r="AS12" i="4" s="1"/>
  <c r="P54" i="18"/>
  <c r="P12" i="4" s="1"/>
  <c r="J54" i="18"/>
  <c r="J12" i="4" s="1"/>
  <c r="D12" i="4"/>
  <c r="AV60" i="4"/>
  <c r="AU60" i="4"/>
  <c r="AT60" i="4"/>
  <c r="AS60" i="4"/>
  <c r="AC60" i="4"/>
  <c r="AB60" i="4"/>
  <c r="AA60" i="4"/>
  <c r="Z60" i="4"/>
  <c r="Y60" i="4"/>
  <c r="X60" i="4"/>
  <c r="W60" i="4"/>
  <c r="V60" i="4"/>
  <c r="U60" i="4"/>
  <c r="T60" i="4"/>
  <c r="S60" i="4"/>
  <c r="R60" i="4"/>
  <c r="Q60" i="4"/>
  <c r="O37" i="10" s="1"/>
  <c r="P37" i="10" s="1"/>
  <c r="P60" i="4"/>
  <c r="O60" i="4"/>
  <c r="N60" i="4"/>
  <c r="M60" i="4"/>
  <c r="L60" i="4"/>
  <c r="K60" i="4"/>
  <c r="J37" i="10" s="1"/>
  <c r="K37" i="10" s="1"/>
  <c r="J60" i="4"/>
  <c r="I60" i="4"/>
  <c r="H60" i="4"/>
  <c r="G60" i="4"/>
  <c r="F60" i="4"/>
  <c r="E60" i="4"/>
  <c r="E37" i="10" s="1"/>
  <c r="F37" i="10" s="1"/>
  <c r="D60" i="4"/>
  <c r="AT22" i="4"/>
  <c r="AA22" i="4"/>
  <c r="X22" i="4"/>
  <c r="U22" i="4"/>
  <c r="R22" i="4"/>
  <c r="P22" i="4"/>
  <c r="N22" i="4"/>
  <c r="L22" i="4"/>
  <c r="K22" i="4"/>
  <c r="F22" i="4"/>
  <c r="E22" i="4"/>
  <c r="D22" i="4"/>
  <c r="AU12" i="4"/>
  <c r="W12" i="4"/>
  <c r="V12" i="4"/>
  <c r="T12" i="4"/>
  <c r="S12" i="4"/>
  <c r="R12" i="4"/>
  <c r="L12" i="4"/>
  <c r="AU5" i="4"/>
  <c r="AT5" i="4"/>
  <c r="AS5" i="4"/>
  <c r="AC5" i="4"/>
  <c r="AB5" i="4"/>
  <c r="AA5" i="4"/>
  <c r="Z5" i="4"/>
  <c r="Y5" i="4"/>
  <c r="X5" i="4"/>
  <c r="W5" i="4"/>
  <c r="V5" i="4"/>
  <c r="U5" i="4"/>
  <c r="T5" i="4"/>
  <c r="S5" i="4"/>
  <c r="R5" i="4"/>
  <c r="Q5" i="4"/>
  <c r="O15" i="10" s="1"/>
  <c r="P15" i="10" s="1"/>
  <c r="P5" i="4"/>
  <c r="O5" i="4"/>
  <c r="N5" i="4"/>
  <c r="M5" i="4"/>
  <c r="L5" i="4"/>
  <c r="K5" i="4"/>
  <c r="J5" i="4"/>
  <c r="I5" i="4"/>
  <c r="H5" i="4"/>
  <c r="G5" i="4"/>
  <c r="F5" i="4"/>
  <c r="E5" i="4"/>
  <c r="D5" i="4"/>
  <c r="E6" i="10" l="1"/>
  <c r="L15" i="10"/>
  <c r="J15" i="10"/>
  <c r="J17" i="10" s="1"/>
  <c r="K17" i="10" s="1"/>
  <c r="E15" i="10"/>
  <c r="F15" i="10" s="1"/>
  <c r="F51" i="10" s="1"/>
  <c r="P51" i="10"/>
  <c r="O6" i="10"/>
  <c r="P6" i="10" s="1"/>
  <c r="J6" i="10"/>
  <c r="J12" i="10" s="1"/>
  <c r="F6" i="10"/>
  <c r="E12" i="10"/>
  <c r="F12" i="10" s="1"/>
  <c r="L6" i="10"/>
  <c r="G6" i="10"/>
  <c r="G15" i="10"/>
  <c r="O17" i="10"/>
  <c r="P17" i="10" s="1"/>
  <c r="K15" i="10" l="1"/>
  <c r="O12" i="10"/>
  <c r="P12" i="10" s="1"/>
  <c r="K51" i="10"/>
  <c r="L29" i="10"/>
  <c r="E17" i="10"/>
  <c r="F17" i="10" s="1"/>
  <c r="F44" i="10" s="1"/>
  <c r="F47" i="10" s="1"/>
  <c r="F50" i="10" s="1"/>
  <c r="F52" i="10" s="1"/>
  <c r="C11" i="16" s="1"/>
  <c r="G25" i="10"/>
  <c r="L19" i="10"/>
  <c r="L21" i="10" s="1"/>
  <c r="L22" i="10" s="1"/>
  <c r="L25" i="10" s="1"/>
  <c r="G19" i="10"/>
  <c r="G28" i="10"/>
  <c r="G29" i="10"/>
  <c r="P44" i="10"/>
  <c r="P47" i="10" s="1"/>
  <c r="P50" i="10" s="1"/>
  <c r="P52" i="10" s="1"/>
  <c r="E11" i="16" s="1"/>
  <c r="J44" i="10"/>
  <c r="L24" i="10" l="1"/>
  <c r="O44" i="10"/>
  <c r="E44" i="10"/>
  <c r="L23" i="10"/>
  <c r="L27" i="10" s="1"/>
  <c r="L28" i="10"/>
  <c r="G21" i="10"/>
  <c r="G24" i="10"/>
  <c r="G23" i="10" s="1"/>
  <c r="G27" i="10" s="1"/>
  <c r="G26" i="10" s="1"/>
  <c r="G30" i="10" s="1"/>
  <c r="H12" i="10"/>
  <c r="K6" i="10"/>
  <c r="L26" i="10" l="1"/>
  <c r="L30" i="10" s="1"/>
  <c r="G31" i="10"/>
  <c r="G32" i="10" s="1"/>
  <c r="G33" i="10" s="1"/>
  <c r="L31" i="10"/>
  <c r="L32" i="10" s="1"/>
  <c r="L33" i="10" s="1"/>
  <c r="H44" i="10"/>
  <c r="K12" i="10"/>
  <c r="K44" i="10" s="1"/>
  <c r="K47" i="10" s="1"/>
  <c r="K50" i="10" s="1"/>
  <c r="K52" i="10" s="1"/>
  <c r="D11" i="16" s="1"/>
</calcChain>
</file>

<file path=xl/sharedStrings.xml><?xml version="1.0" encoding="utf-8"?>
<sst xmlns="http://schemas.openxmlformats.org/spreadsheetml/2006/main" count="647" uniqueCount="567">
  <si>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</si>
  <si>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</si>
  <si>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</si>
  <si>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</si>
  <si>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</si>
  <si>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</si>
  <si>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</si>
  <si>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</si>
  <si>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</si>
  <si>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</si>
  <si>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</si>
  <si>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</si>
  <si>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</si>
  <si>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</si>
  <si>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</si>
  <si>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</si>
  <si>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</si>
  <si>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</si>
  <si>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</si>
  <si>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</si>
  <si>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</si>
  <si>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</si>
  <si>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</si>
  <si>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</si>
  <si>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</si>
  <si>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</si>
  <si>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</si>
  <si>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</si>
  <si>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</si>
  <si>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</si>
  <si>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</si>
  <si>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</si>
  <si>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</si>
  <si>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</si>
  <si>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</si>
  <si>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</si>
  <si>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</si>
  <si>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</si>
  <si>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</si>
  <si>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</si>
  <si>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</si>
  <si>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</si>
  <si>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</si>
  <si>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</si>
  <si>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</si>
  <si>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</si>
  <si>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</si>
  <si>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</si>
  <si>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</si>
  <si>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</si>
  <si>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</si>
  <si>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</si>
  <si>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</si>
  <si>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</si>
  <si>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</si>
  <si>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</si>
  <si>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</si>
  <si>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</si>
  <si>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</si>
  <si>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</si>
  <si>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</si>
  <si>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</si>
  <si>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</si>
  <si>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</si>
  <si>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</si>
  <si>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</si>
  <si>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</si>
  <si>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</si>
  <si>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</si>
  <si>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</si>
  <si>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</si>
  <si>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</si>
  <si>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</si>
  <si>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</si>
  <si>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</si>
  <si>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</si>
  <si>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</si>
  <si>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</si>
  <si>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</si>
  <si>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</si>
  <si>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</si>
  <si>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</si>
  <si>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</si>
  <si>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</si>
  <si>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</si>
  <si>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</si>
  <si>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</si>
  <si>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</si>
  <si>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</si>
  <si>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</si>
  <si>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</si>
  <si>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</si>
  <si>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</si>
  <si>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</si>
  <si>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</si>
  <si>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</si>
  <si>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</si>
  <si>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</si>
  <si>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</si>
  <si>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</si>
  <si>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</si>
  <si>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</si>
  <si>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</si>
  <si>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</si>
  <si>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</si>
  <si>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</si>
  <si>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</si>
  <si>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</si>
  <si>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</si>
  <si>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</si>
  <si>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</si>
  <si>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</si>
  <si>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</si>
  <si>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</si>
  <si>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</si>
  <si>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</si>
  <si>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</si>
  <si>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</si>
  <si>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</si>
  <si>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</si>
  <si>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</si>
  <si>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</si>
  <si>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</si>
  <si>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</si>
  <si>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</si>
  <si>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</si>
  <si>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</si>
  <si>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</si>
  <si>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</si>
  <si>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</si>
  <si>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</si>
  <si>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</si>
  <si>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</si>
  <si>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</si>
  <si>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</si>
  <si>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</si>
  <si>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</si>
  <si>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</si>
  <si>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</si>
  <si>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</si>
  <si>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</si>
  <si>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</si>
  <si>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</si>
  <si>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</si>
  <si>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</si>
  <si>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</si>
  <si>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</si>
  <si>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</si>
  <si>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</si>
  <si>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</si>
  <si>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</si>
  <si>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</si>
  <si>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</si>
  <si>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</si>
  <si>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</si>
  <si>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</si>
  <si>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</si>
  <si>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</si>
  <si>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</si>
  <si>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</si>
  <si>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</si>
  <si>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</si>
  <si>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</si>
  <si>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</si>
  <si>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</si>
  <si>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</si>
  <si>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</si>
  <si>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</si>
  <si>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</si>
  <si>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</si>
  <si>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</si>
  <si>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</si>
  <si>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</si>
  <si>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</si>
  <si>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</si>
  <si>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</si>
  <si>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</si>
  <si>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</si>
  <si>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</si>
  <si>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</si>
  <si>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</si>
  <si>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</si>
  <si>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</si>
  <si>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</si>
  <si>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</si>
  <si>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</si>
  <si>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</si>
  <si>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</si>
  <si>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</si>
  <si>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</si>
  <si>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</si>
  <si>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</si>
  <si>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</si>
  <si>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</si>
  <si>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</si>
  <si>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</si>
  <si>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</si>
  <si>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</si>
  <si>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</si>
  <si>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</si>
  <si>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</si>
  <si>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</si>
  <si>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</si>
  <si>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</si>
  <si>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</si>
  <si>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</si>
  <si>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</si>
  <si>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</si>
  <si>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</si>
  <si>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</si>
  <si>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</si>
  <si>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</si>
  <si>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</si>
  <si>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</si>
  <si>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</si>
  <si>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</si>
  <si>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</si>
  <si>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</si>
  <si>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</si>
  <si>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</si>
  <si>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</si>
  <si>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</si>
  <si>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</si>
  <si>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</si>
  <si>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</si>
  <si>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</si>
  <si>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</si>
  <si>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</si>
  <si>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</si>
  <si>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</si>
  <si>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</si>
  <si>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</si>
  <si>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</si>
  <si>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</si>
  <si>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</si>
  <si>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</si>
  <si>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</si>
  <si>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</si>
  <si>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</si>
  <si>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</si>
  <si>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</si>
  <si>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</si>
  <si>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</si>
  <si>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</si>
  <si>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</si>
  <si>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</si>
  <si>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</si>
  <si>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</si>
  <si>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</si>
  <si>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</si>
  <si>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</si>
  <si>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</si>
  <si>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</si>
  <si>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</si>
  <si>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</si>
  <si>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</si>
  <si>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</si>
  <si>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</si>
  <si>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</si>
  <si>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</si>
  <si>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</si>
  <si>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</si>
  <si>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</si>
  <si>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</si>
  <si>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</si>
  <si>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</si>
  <si>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</si>
  <si>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</si>
  <si>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</si>
  <si>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</si>
  <si>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</si>
  <si>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</si>
  <si>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</si>
  <si>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</si>
  <si>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</si>
  <si>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</si>
  <si>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</si>
  <si>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</si>
  <si>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</si>
  <si>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</si>
  <si>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</si>
  <si>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</si>
  <si>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</si>
  <si>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</si>
  <si>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</si>
  <si>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</si>
  <si>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</si>
  <si>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</si>
  <si>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</si>
  <si>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</si>
  <si>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</si>
  <si>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</si>
  <si>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</si>
  <si>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</si>
  <si>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</si>
  <si>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</si>
  <si>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</si>
  <si>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</si>
  <si>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</si>
  <si>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</si>
  <si>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</si>
  <si>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</si>
  <si>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</si>
  <si>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</si>
  <si>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</si>
  <si>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</si>
  <si>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</si>
  <si>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</si>
  <si>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</si>
  <si>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</si>
  <si>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</si>
  <si>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</si>
  <si>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</si>
  <si>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</si>
  <si>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</si>
  <si>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</si>
  <si>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</si>
  <si>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</si>
  <si>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</si>
  <si>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</si>
  <si>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</si>
  <si>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</si>
  <si>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</si>
  <si>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</si>
  <si>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</si>
  <si>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</si>
  <si>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</si>
  <si>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</si>
  <si>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</si>
  <si>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</si>
  <si>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</si>
  <si>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</si>
  <si>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</si>
  <si>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</si>
  <si>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</si>
  <si>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</si>
  <si>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</si>
  <si>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</si>
  <si>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</si>
  <si>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</si>
  <si>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</si>
  <si>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</si>
  <si>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</si>
  <si>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</si>
  <si>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</si>
  <si>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</si>
  <si>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</si>
  <si>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</si>
  <si>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</si>
  <si>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</si>
  <si>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</si>
  <si>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</si>
  <si>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</si>
  <si>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</si>
  <si>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</si>
  <si>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</si>
  <si>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</si>
  <si>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</si>
  <si>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</si>
  <si>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</si>
  <si>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</si>
  <si>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</si>
  <si>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</si>
  <si>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</si>
  <si>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</si>
  <si>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</si>
  <si>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</si>
  <si>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</si>
  <si>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</si>
  <si>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</si>
  <si>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</si>
  <si>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</si>
  <si>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</si>
  <si>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</si>
  <si>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</si>
  <si>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</si>
  <si>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</si>
  <si>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</si>
  <si>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</si>
  <si>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</si>
  <si>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</si>
  <si>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</si>
  <si>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</si>
  <si>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</si>
  <si>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</si>
  <si>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</si>
  <si>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</si>
  <si>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</si>
  <si>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</si>
  <si>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</si>
  <si>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</si>
  <si>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</si>
  <si>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</si>
  <si>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</si>
  <si>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</si>
  <si>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</si>
  <si>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</si>
  <si>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</si>
  <si>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</si>
  <si>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</si>
  <si>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</si>
  <si>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</si>
  <si>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</si>
  <si>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</si>
  <si>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</si>
  <si>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</si>
  <si>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</si>
  <si>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</si>
  <si>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</si>
  <si>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</si>
  <si>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</si>
  <si>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</si>
  <si>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</si>
  <si>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</si>
  <si>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</si>
  <si>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</si>
  <si>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</si>
  <si>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</si>
  <si>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</si>
  <si>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</si>
  <si>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</si>
  <si>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</si>
  <si>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</si>
  <si>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</si>
  <si>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</si>
  <si>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</si>
  <si>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</si>
  <si>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</si>
  <si>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</si>
  <si>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</si>
  <si>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</si>
  <si>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</si>
  <si>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</si>
  <si>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</si>
  <si>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</si>
  <si>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</si>
  <si>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</si>
  <si>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</si>
  <si>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</si>
  <si>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</si>
  <si>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</si>
  <si>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</si>
  <si>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</si>
  <si>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</si>
  <si>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</si>
  <si>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</si>
  <si>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</si>
  <si>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</si>
  <si>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</si>
  <si>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</si>
  <si>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</si>
  <si>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</si>
  <si>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</si>
  <si>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</si>
  <si>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</si>
  <si>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</si>
  <si>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</si>
  <si>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</si>
  <si>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</si>
  <si>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</si>
  <si>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</si>
  <si>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</si>
  <si>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</si>
  <si>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</si>
  <si>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</si>
  <si>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</si>
  <si>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</si>
  <si>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</si>
  <si>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</si>
  <si>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</si>
  <si>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</si>
  <si>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</si>
  <si>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</si>
  <si>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</si>
  <si>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</si>
  <si>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</si>
  <si>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</si>
  <si>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</si>
  <si>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</si>
  <si>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</si>
  <si>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</si>
  <si>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</si>
  <si>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</si>
  <si>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</si>
  <si>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</si>
  <si>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</si>
  <si>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</si>
  <si>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</si>
  <si>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</si>
  <si>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</si>
  <si>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</si>
  <si>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</si>
  <si>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</si>
  <si>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</si>
  <si>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Care Network</t>
  </si>
  <si>
    <t>BCBS OF MI GRP</t>
  </si>
  <si>
    <t>00572</t>
  </si>
  <si>
    <t>2014</t>
  </si>
  <si>
    <t>20500 Civic Center Drive Southfield, MI 48076-4115</t>
  </si>
  <si>
    <t>382359234</t>
  </si>
  <si>
    <t>068741</t>
  </si>
  <si>
    <t>95610</t>
  </si>
  <si>
    <t>98185</t>
  </si>
  <si>
    <t>46</t>
  </si>
  <si>
    <t>Paid Claims</t>
  </si>
  <si>
    <t>IBNR</t>
  </si>
  <si>
    <t>PCG and Hospital Settlements</t>
  </si>
  <si>
    <t>Rx Rebates</t>
  </si>
  <si>
    <t>Actual data, scaled to financial statements</t>
  </si>
  <si>
    <t>Apply completion factors to monthly claims amounts</t>
  </si>
  <si>
    <t>Based on PMPMs from restated financial statements</t>
  </si>
  <si>
    <t>Estimated percentage of restated pharmacy claims</t>
  </si>
  <si>
    <t>Federal taxes and assessments</t>
  </si>
  <si>
    <t>Federal taxes are first separated by Comprehensive, Government and Other business.  Then comprehensive is allocated</t>
  </si>
  <si>
    <t>State insurance, premium and other taxes</t>
  </si>
  <si>
    <t xml:space="preserve">Community benefit expenditures </t>
  </si>
  <si>
    <t>Regulatory authority licenses and fees</t>
  </si>
  <si>
    <t>Regulatory authority fees are allocated based on premium revenue excluding Government business which is how they are billed.</t>
  </si>
  <si>
    <t>Medical/Hospital case management</t>
  </si>
  <si>
    <t>Behavioral health case management</t>
  </si>
  <si>
    <t>Chronic disease case management</t>
  </si>
  <si>
    <t>Medical policy activities related to promoting evidence based medicine</t>
  </si>
  <si>
    <t>Accreditation fees for NCQA and HEDIS</t>
  </si>
  <si>
    <t>Expenses include dedicated BCN staff and related direct expenses such as telephone, PCs, etc.</t>
  </si>
  <si>
    <t>Expenses include paid invoices for accreditation for NCQA and HEDIS.</t>
  </si>
  <si>
    <t>Rehabilitation case management</t>
  </si>
  <si>
    <t>Member discharge planning</t>
  </si>
  <si>
    <t>Post discharge follow up</t>
  </si>
  <si>
    <t xml:space="preserve">Medical policy and quality management activities related to using best clinical practices to improve safety and reduce medical errors </t>
  </si>
  <si>
    <t>Pharmacy staff activities related to prospective prescription drug utilization review to prevent adverse drug interactions</t>
  </si>
  <si>
    <t>Performing wellness assessments for the Healthy Blue Living product</t>
  </si>
  <si>
    <t>Health coaching programs for the Healthy Blue Living product</t>
  </si>
  <si>
    <t>Coaching and education programs designed to change member behavior, such as smoking cessation.</t>
  </si>
  <si>
    <t>Expenses include dedicated BCN staff and related direct expenses such as telephone, PCs, etc. as well as assessment expenses.</t>
  </si>
  <si>
    <t>Performing medical data analysis activities related to monitoring, measuring, analyzing and reporting clinical effectiveness</t>
  </si>
  <si>
    <t>Proactive profiling to improve health outcomes, prevent hospital readmissions, improve member safety, reduce medical errors and promote evidence based medicine</t>
  </si>
  <si>
    <t xml:space="preserve">Data analysis and reporting activities related to measuring, monitoring and improving clinical effectiveness for maintaining NCQA and HEDIS accreditation.  </t>
  </si>
  <si>
    <t>Expenses include dedicated BCN staff and related direct expenses such as telephone, PCs, etc. as well as pertinent software expenses.</t>
  </si>
  <si>
    <t>Allowale ICD-10 Expenses</t>
  </si>
  <si>
    <t>Allowable ICD-10 charges were allocated by member months.</t>
  </si>
  <si>
    <t>Cost containment expenses not included in quality improvement expenses</t>
  </si>
  <si>
    <t>All other claims adjustment expenses</t>
  </si>
  <si>
    <t>Direct sales salaries and benefits</t>
  </si>
  <si>
    <t>Agents and brokers fees and commissions</t>
  </si>
  <si>
    <t>Other taxes</t>
  </si>
  <si>
    <t>Other general and administrative expenses</t>
  </si>
  <si>
    <t xml:space="preserve"> Community benefit expenditures</t>
  </si>
  <si>
    <t xml:space="preserve"> ICD-10 implementation expenses</t>
  </si>
  <si>
    <t>The ICD-10 implementation expenses were allocated to individual, small and large group by percentage of member months.</t>
  </si>
  <si>
    <t xml:space="preserve">BCN other general and aministrative expenses are included as General Administrative expense categories based on having conducted extensive interviews with leaders in all areas of the company and collecting </t>
  </si>
  <si>
    <t>documentation to identify these expenses based on guidance in the NAIC Accounting Practices and Procedures Manual and the 2013 NAIC instructions for the Supplemental Health Care Exhibit.</t>
  </si>
  <si>
    <t>These costs are allocated to individual, small and large group based on written premiums.</t>
  </si>
  <si>
    <t>Based on actual data experience.</t>
  </si>
  <si>
    <t xml:space="preserve">BCN direct sales salaries and benefits are included in General Administrative expense categories based on having conducted extensive interviews with leaders in all areas of the company and collecting documentation to identiy these expenses </t>
  </si>
  <si>
    <t>based on guidance in the NAIC Accounting Practices and Procedures Manual and the 2013 NAIC instructions for the Supplemental Health Care Exhibit.</t>
  </si>
  <si>
    <t>The costs listed above were allocated to individual, small and large group based on written premiums.</t>
  </si>
  <si>
    <t xml:space="preserve">BCN claims adjustment expenses were determined by conducting extensive interviews with leaders in all areas of the company and collecting documentation to identify potential claims adjustment expenses based on guidance in the NAIC  </t>
  </si>
  <si>
    <t>Accounting Practices and Procedures Manual. These costs included expenses incurred for the adjustment and recording of claims and also include costs related to estimating the amounts of losses and disbursing loss payments.  Also overhead costs are included such</t>
  </si>
  <si>
    <t>as supplies, postage and computer maintenance expenses.</t>
  </si>
  <si>
    <t>The costs listed above were allocated to individual, small and large group by percentage of member months.</t>
  </si>
  <si>
    <t>BCN cost containment expenses were determined by conducting extensive interviews with leaders in all areas of the company and collecting documentation to identify potential cost containment expenses based on guidance in the NAIC</t>
  </si>
  <si>
    <t>Accounting Practices and Procedures Manual. These costs included expenses: related to detection and prevention of fraudulent requests for reimbursement,  network access fees,provider contracting, provider network developmnet, utilization management and</t>
  </si>
  <si>
    <t>to individual, small and large group by percent of member months. ACA related taxes and fees are allocated based on actual values.</t>
  </si>
  <si>
    <t>Other taxes are allocated based on percent of paid claims per segment.</t>
  </si>
  <si>
    <t>Community benefit expenditures are allocated based on percent of member months per segment.</t>
  </si>
  <si>
    <t>The costs listed above were allocated to individual, small and large group by percent of member months</t>
  </si>
  <si>
    <t>certain types of consumer education. The costs listed above were allocated to individual, small and large group by percent of member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</si>
</sst>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70" fontId="31" fillId="28" borderId="23" xfId="1"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162</v>
      </c>
    </row>
    <row r="13" spans="1:6" x14ac:dyDescent="0.4">
      <c r="B13" s="232" t="s">
        <v>50</v>
      </c>
      <c r="C13" s="378" t="s">
        <v>162</v>
      </c>
    </row>
    <row r="14" spans="1:6" x14ac:dyDescent="0.4">
      <c r="B14" s="232" t="s">
        <v>51</v>
      </c>
      <c r="C14" s="378" t="s">
        <v>498</v>
      </c>
    </row>
    <row r="15" spans="1:6" x14ac:dyDescent="0.4">
      <c r="B15" s="232" t="s">
        <v>217</v>
      </c>
      <c r="C15" s="378" t="s">
        <v>133</v>
      </c>
    </row>
    <row r="16" spans="1:6" x14ac:dyDescent="0.4">
      <c r="B16" s="233" t="s">
        <v>219</v>
      </c>
      <c r="C16" s="380" t="s">
        <v>135</v>
      </c>
    </row>
    <row r="17" spans="1:3" x14ac:dyDescent="0.4">
      <c r="B17" s="232" t="s">
        <v>218</v>
      </c>
      <c r="C17" s="378" t="s">
        <v>133</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7030A0"/>
    <pageSetUpPr fitToPage="1"/>
  </sheetPr>
  <dimension ref="A1:AX185"/>
  <sheetViews>
    <sheetView zoomScale="70" zoomScaleNormal="70" workbookViewId="0">
      <pane xSplit="2" ySplit="3" topLeftCell="C8" activePane="bottomRight" state="frozen"/>
      <selection activeCell="B1" sqref="B1"/>
      <selection pane="topRight" activeCell="B1" sqref="B1"/>
      <selection pane="bottomLeft" activeCell="B1" sqref="B1"/>
      <selection pane="bottomRight" sqref="A1:XFD1048576"/>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f>'Pt 2 Premium and Claims'!D5+'Pt 2 Premium and Claims'!D6-'Pt 2 Premium and Claims'!D7-'Pt 2 Premium and Claims'!D13+'Pt 2 Premium and Claims'!D14+'Pt 2 Premium and Claims'!D15+'Pt 2 Premium and Claims'!D16+'Pt 2 Premium and Claims'!D17</f>
        <v>364546871</v>
      </c>
      <c r="E5" s="106">
        <f>'Pt 2 Premium and Claims'!E5+'Pt 2 Premium and Claims'!E6-'Pt 2 Premium and Claims'!E7-'Pt 2 Premium and Claims'!E13+'Pt 2 Premium and Claims'!E14+'Pt 2 Premium and Claims'!E15+'Pt 2 Premium and Claims'!E16+'Pt 2 Premium and Claims'!E17</f>
        <v>375811016.19591683</v>
      </c>
      <c r="F5" s="106">
        <f>'Pt 2 Premium and Claims'!F5+'Pt 2 Premium and Claims'!F6-'Pt 2 Premium and Claims'!F7-'Pt 2 Premium and Claims'!F13+'Pt 2 Premium and Claims'!F14+'Pt 2 Premium and Claims'!F15+'Pt 2 Premium and Claims'!F16+'Pt 2 Premium and Claims'!F17</f>
        <v>0</v>
      </c>
      <c r="G5" s="106">
        <f>'Pt 2 Premium and Claims'!G5+'Pt 2 Premium and Claims'!G6-'Pt 2 Premium and Claims'!G7-'Pt 2 Premium and Claims'!G13+'Pt 2 Premium and Claims'!G14+'Pt 2 Premium and Claims'!G15+'Pt 2 Premium and Claims'!G16+'Pt 2 Premium and Claims'!G17</f>
        <v>0</v>
      </c>
      <c r="H5" s="106">
        <f>'Pt 2 Premium and Claims'!H5+'Pt 2 Premium and Claims'!H6-'Pt 2 Premium and Claims'!H7-'Pt 2 Premium and Claims'!H13+'Pt 2 Premium and Claims'!H14+'Pt 2 Premium and Claims'!H15+'Pt 2 Premium and Claims'!H16+'Pt 2 Premium and Claims'!H17</f>
        <v>0</v>
      </c>
      <c r="I5" s="105">
        <f>'Pt 2 Premium and Claims'!I5+'Pt 2 Premium and Claims'!I6-'Pt 2 Premium and Claims'!I7-'Pt 2 Premium and Claims'!I13+'Pt 2 Premium and Claims'!I14+'Pt 2 Premium and Claims'!I15+'Pt 2 Premium and Claims'!I16+'Pt 2 Premium and Claims'!I17</f>
        <v>365155126.58906108</v>
      </c>
      <c r="J5" s="105">
        <f>'Pt 2 Premium and Claims'!J5+'Pt 2 Premium and Claims'!J6-'Pt 2 Premium and Claims'!J7-'Pt 2 Premium and Claims'!J13+'Pt 2 Premium and Claims'!J14+'Pt 2 Premium and Claims'!J15+'Pt 2 Premium and Claims'!J16+'Pt 2 Premium and Claims'!J17</f>
        <v>344484895</v>
      </c>
      <c r="K5" s="106">
        <f>'Pt 2 Premium and Claims'!K5+'Pt 2 Premium and Claims'!K6-'Pt 2 Premium and Claims'!K7-'Pt 2 Premium and Claims'!K13+'Pt 2 Premium and Claims'!K14+'Pt 2 Premium and Claims'!K15+'Pt 2 Premium and Claims'!K16+'Pt 2 Premium and Claims'!K17</f>
        <v>346397700.80922759</v>
      </c>
      <c r="L5" s="106">
        <f>'Pt 2 Premium and Claims'!L5+'Pt 2 Premium and Claims'!L6-'Pt 2 Premium and Claims'!L7-'Pt 2 Premium and Claims'!L13+'Pt 2 Premium and Claims'!L14+'Pt 2 Premium and Claims'!L15+'Pt 2 Premium and Claims'!L16+'Pt 2 Premium and Claims'!L17</f>
        <v>0</v>
      </c>
      <c r="M5" s="106">
        <f>'Pt 2 Premium and Claims'!M5+'Pt 2 Premium and Claims'!M6-'Pt 2 Premium and Claims'!M7-'Pt 2 Premium and Claims'!M13+'Pt 2 Premium and Claims'!M14+'Pt 2 Premium and Claims'!M15+'Pt 2 Premium and Claims'!M16+'Pt 2 Premium and Claims'!M17</f>
        <v>0</v>
      </c>
      <c r="N5" s="106">
        <f>'Pt 2 Premium and Claims'!N5+'Pt 2 Premium and Claims'!N6-'Pt 2 Premium and Claims'!N7-'Pt 2 Premium and Claims'!N13+'Pt 2 Premium and Claims'!N14+'Pt 2 Premium and Claims'!N15+'Pt 2 Premium and Claims'!N16+'Pt 2 Premium and Claims'!N17</f>
        <v>0</v>
      </c>
      <c r="O5" s="105">
        <f>'Pt 2 Premium and Claims'!O5+'Pt 2 Premium and Claims'!O6-'Pt 2 Premium and Claims'!O7-'Pt 2 Premium and Claims'!O13+'Pt 2 Premium and Claims'!O14+'Pt 2 Premium and Claims'!O15+'Pt 2 Premium and Claims'!O16+'Pt 2 Premium and Claims'!O17</f>
        <v>153386621.61023507</v>
      </c>
      <c r="P5" s="105">
        <f>'Pt 2 Premium and Claims'!P5+'Pt 2 Premium and Claims'!P6-'Pt 2 Premium and Claims'!P7-'Pt 2 Premium and Claims'!P13+'Pt 2 Premium and Claims'!P14+'Pt 2 Premium and Claims'!P15+'Pt 2 Premium and Claims'!P16+'Pt 2 Premium and Claims'!P17</f>
        <v>1481734587</v>
      </c>
      <c r="Q5" s="106">
        <f>'Pt 2 Premium and Claims'!Q5+'Pt 2 Premium and Claims'!Q6-'Pt 2 Premium and Claims'!Q7-'Pt 2 Premium and Claims'!Q13+'Pt 2 Premium and Claims'!Q14+'Pt 2 Premium and Claims'!Q15+'Pt 2 Premium and Claims'!Q16+'Pt 2 Premium and Claims'!Q17</f>
        <v>1451884107.5644433</v>
      </c>
      <c r="R5" s="106">
        <f>'Pt 2 Premium and Claims'!R5+'Pt 2 Premium and Claims'!R6-'Pt 2 Premium and Claims'!R7-'Pt 2 Premium and Claims'!R13+'Pt 2 Premium and Claims'!R14+'Pt 2 Premium and Claims'!R15+'Pt 2 Premium and Claims'!R16+'Pt 2 Premium and Claims'!R17</f>
        <v>0</v>
      </c>
      <c r="S5" s="106">
        <f>'Pt 2 Premium and Claims'!S5+'Pt 2 Premium and Claims'!S6-'Pt 2 Premium and Claims'!S7-'Pt 2 Premium and Claims'!S13+'Pt 2 Premium and Claims'!S14+'Pt 2 Premium and Claims'!S15+'Pt 2 Premium and Claims'!S16+'Pt 2 Premium and Claims'!S17</f>
        <v>0</v>
      </c>
      <c r="T5" s="106">
        <f>'Pt 2 Premium and Claims'!T5+'Pt 2 Premium and Claims'!T6-'Pt 2 Premium and Claims'!T7-'Pt 2 Premium and Claims'!T13+'Pt 2 Premium and Claims'!T14+'Pt 2 Premium and Claims'!T15+'Pt 2 Premium and Claims'!T16+'Pt 2 Premium and Claims'!T17</f>
        <v>0</v>
      </c>
      <c r="U5" s="105">
        <f>'Pt 2 Premium and Claims'!U5+'Pt 2 Premium and Claims'!U6-'Pt 2 Premium and Claims'!U7-'Pt 2 Premium and Claims'!U13+'Pt 2 Premium and Claims'!U14+'Pt 2 Premium and Claims'!U15+'Pt 2 Premium and Claims'!U16+'Pt 2 Premium and Claims'!U17</f>
        <v>0</v>
      </c>
      <c r="V5" s="106">
        <f>'Pt 2 Premium and Claims'!V5+'Pt 2 Premium and Claims'!V6-'Pt 2 Premium and Claims'!V7-'Pt 2 Premium and Claims'!V13+'Pt 2 Premium and Claims'!V14+'Pt 2 Premium and Claims'!V15+'Pt 2 Premium and Claims'!V16+'Pt 2 Premium and Claims'!V17</f>
        <v>0</v>
      </c>
      <c r="W5" s="106">
        <f>'Pt 2 Premium and Claims'!W5+'Pt 2 Premium and Claims'!W6-'Pt 2 Premium and Claims'!W7-'Pt 2 Premium and Claims'!W13+'Pt 2 Premium and Claims'!W14+'Pt 2 Premium and Claims'!W15+'Pt 2 Premium and Claims'!W16+'Pt 2 Premium and Claims'!W17</f>
        <v>0</v>
      </c>
      <c r="X5" s="105">
        <f>'Pt 2 Premium and Claims'!X5+'Pt 2 Premium and Claims'!X6-'Pt 2 Premium and Claims'!X7-'Pt 2 Premium and Claims'!X13+'Pt 2 Premium and Claims'!X14+'Pt 2 Premium and Claims'!X15+'Pt 2 Premium and Claims'!X16+'Pt 2 Premium and Claims'!X17</f>
        <v>0</v>
      </c>
      <c r="Y5" s="106">
        <f>'Pt 2 Premium and Claims'!Y5+'Pt 2 Premium and Claims'!Y6-'Pt 2 Premium and Claims'!Y7-'Pt 2 Premium and Claims'!Y13+'Pt 2 Premium and Claims'!Y14+'Pt 2 Premium and Claims'!Y15+'Pt 2 Premium and Claims'!Y16+'Pt 2 Premium and Claims'!Y17</f>
        <v>0</v>
      </c>
      <c r="Z5" s="106">
        <f>'Pt 2 Premium and Claims'!Z5+'Pt 2 Premium and Claims'!Z6-'Pt 2 Premium and Claims'!Z7-'Pt 2 Premium and Claims'!Z13+'Pt 2 Premium and Claims'!Z14+'Pt 2 Premium and Claims'!Z15+'Pt 2 Premium and Claims'!Z16+'Pt 2 Premium and Claims'!Z17</f>
        <v>0</v>
      </c>
      <c r="AA5" s="105">
        <f>'Pt 2 Premium and Claims'!AA5+'Pt 2 Premium and Claims'!AA6-'Pt 2 Premium and Claims'!AA7-'Pt 2 Premium and Claims'!AA13+'Pt 2 Premium and Claims'!AA14+'Pt 2 Premium and Claims'!AA15+'Pt 2 Premium and Claims'!AA16+'Pt 2 Premium and Claims'!AA17</f>
        <v>0</v>
      </c>
      <c r="AB5" s="106">
        <f>'Pt 2 Premium and Claims'!AB5+'Pt 2 Premium and Claims'!AB6-'Pt 2 Premium and Claims'!AB7-'Pt 2 Premium and Claims'!AB13+'Pt 2 Premium and Claims'!AB14+'Pt 2 Premium and Claims'!AB15+'Pt 2 Premium and Claims'!AB16+'Pt 2 Premium and Claims'!AB17</f>
        <v>0</v>
      </c>
      <c r="AC5" s="106">
        <f>'Pt 2 Premium and Claims'!AC5+'Pt 2 Premium and Claims'!AC6-'Pt 2 Premium and Claims'!AC7-'Pt 2 Premium and Claims'!AC13+'Pt 2 Premium and Claims'!AC14+'Pt 2 Premium and Claims'!AC15+'Pt 2 Premium and Claims'!AC16+'Pt 2 Premium and Claims'!AC17</f>
        <v>0</v>
      </c>
      <c r="AD5" s="105"/>
      <c r="AE5" s="295"/>
      <c r="AF5" s="295"/>
      <c r="AG5" s="295"/>
      <c r="AH5" s="296"/>
      <c r="AI5" s="105"/>
      <c r="AJ5" s="295"/>
      <c r="AK5" s="295"/>
      <c r="AL5" s="295"/>
      <c r="AM5" s="296"/>
      <c r="AN5" s="105"/>
      <c r="AO5" s="106"/>
      <c r="AP5" s="106"/>
      <c r="AQ5" s="106"/>
      <c r="AR5" s="106"/>
      <c r="AS5" s="105">
        <f>'Pt 2 Premium and Claims'!AS5+'Pt 2 Premium and Claims'!AS6-'Pt 2 Premium and Claims'!AS7-'Pt 2 Premium and Claims'!AS13+'Pt 2 Premium and Claims'!AS14+'Pt 2 Premium and Claims'!AS15+'Pt 2 Premium and Claims'!AS16+'Pt 2 Premium and Claims'!AS17</f>
        <v>637319353</v>
      </c>
      <c r="AT5" s="107">
        <f>'Pt 2 Premium and Claims'!AT5+'Pt 2 Premium and Claims'!AT6-'Pt 2 Premium and Claims'!AT7-'Pt 2 Premium and Claims'!AT13+'Pt 2 Premium and Claims'!AT14+'Pt 2 Premium and Claims'!AT15+'Pt 2 Premium and Claims'!AT16+'Pt 2 Premium and Claims'!AT17</f>
        <v>255473543</v>
      </c>
      <c r="AU5" s="107">
        <f>'Pt 2 Premium and Claims'!AU5+'Pt 2 Premium and Claims'!AU6-'Pt 2 Premium and Claims'!AU7-'Pt 2 Premium and Claims'!AU13+'Pt 2 Premium and Claims'!AU14+'Pt 2 Premium and Claims'!AU15+'Pt 2 Premium and Claims'!AU16+'Pt 2 Premium and Claims'!AU17</f>
        <v>0</v>
      </c>
      <c r="AV5" s="108"/>
      <c r="AW5" s="317"/>
    </row>
    <row r="6" spans="1:49" x14ac:dyDescent="0.4">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4">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35" x14ac:dyDescent="0.4">
      <c r="B8" s="155" t="s">
        <v>225</v>
      </c>
      <c r="C8" s="62" t="s">
        <v>59</v>
      </c>
      <c r="D8" s="109">
        <v>-5608733</v>
      </c>
      <c r="E8" s="289"/>
      <c r="F8" s="290"/>
      <c r="G8" s="290"/>
      <c r="H8" s="290"/>
      <c r="I8" s="293"/>
      <c r="J8" s="109">
        <v>-5573578</v>
      </c>
      <c r="K8" s="289"/>
      <c r="L8" s="290"/>
      <c r="M8" s="290"/>
      <c r="N8" s="290"/>
      <c r="O8" s="293"/>
      <c r="P8" s="109">
        <v>-24661653</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-2890826</v>
      </c>
      <c r="AT8" s="113">
        <v>-2247150</v>
      </c>
      <c r="AU8" s="113">
        <v>0</v>
      </c>
      <c r="AV8" s="311"/>
      <c r="AW8" s="318"/>
    </row>
    <row r="9" spans="1:49" x14ac:dyDescent="0.4">
      <c r="B9" s="155" t="s">
        <v>226</v>
      </c>
      <c r="C9" s="62" t="s">
        <v>60</v>
      </c>
      <c r="D9" s="109">
        <v>0</v>
      </c>
      <c r="E9" s="288"/>
      <c r="F9" s="291"/>
      <c r="G9" s="291"/>
      <c r="H9" s="291"/>
      <c r="I9" s="292"/>
      <c r="J9" s="109">
        <v>-6277569</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4">
      <c r="B10" s="155" t="s">
        <v>227</v>
      </c>
      <c r="C10" s="62" t="s">
        <v>52</v>
      </c>
      <c r="D10" s="109">
        <v>1428182</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f>+'Pt 2 Premium and Claims'!D54</f>
        <v>307199302</v>
      </c>
      <c r="E12" s="106">
        <f>+'Pt 2 Premium and Claims'!E54</f>
        <v>341579271</v>
      </c>
      <c r="F12" s="106">
        <f>+'Pt 2 Premium and Claims'!F54</f>
        <v>0</v>
      </c>
      <c r="G12" s="106">
        <f>+'Pt 2 Premium and Claims'!G54</f>
        <v>0</v>
      </c>
      <c r="H12" s="106">
        <f>+'Pt 2 Premium and Claims'!H54</f>
        <v>0</v>
      </c>
      <c r="I12" s="105">
        <f>+'Pt 2 Premium and Claims'!I54</f>
        <v>339701041</v>
      </c>
      <c r="J12" s="105">
        <f>+'Pt 2 Premium and Claims'!J54</f>
        <v>259921080</v>
      </c>
      <c r="K12" s="106">
        <f>+'Pt 2 Premium and Claims'!K54</f>
        <v>255316714</v>
      </c>
      <c r="L12" s="106">
        <f>+'Pt 2 Premium and Claims'!L54</f>
        <v>0</v>
      </c>
      <c r="M12" s="106">
        <f>+'Pt 2 Premium and Claims'!M54</f>
        <v>0</v>
      </c>
      <c r="N12" s="106">
        <f>+'Pt 2 Premium and Claims'!N54</f>
        <v>0</v>
      </c>
      <c r="O12" s="105">
        <f>+'Pt 2 Premium and Claims'!O54</f>
        <v>112335472.87488988</v>
      </c>
      <c r="P12" s="105">
        <f>+'Pt 2 Premium and Claims'!P54</f>
        <v>1206908851</v>
      </c>
      <c r="Q12" s="106">
        <f>+'Pt 2 Premium and Claims'!Q54</f>
        <v>1203489438</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569646067</v>
      </c>
      <c r="AT12" s="107">
        <f>+'Pt 2 Premium and Claims'!AT54</f>
        <v>226213513</v>
      </c>
      <c r="AU12" s="107">
        <f>+'Pt 2 Premium and Claims'!AU54</f>
        <v>0</v>
      </c>
      <c r="AV12" s="312"/>
      <c r="AW12" s="317"/>
    </row>
    <row r="13" spans="1:49" ht="25.35" x14ac:dyDescent="0.4">
      <c r="B13" s="155" t="s">
        <v>230</v>
      </c>
      <c r="C13" s="62" t="s">
        <v>37</v>
      </c>
      <c r="D13" s="109">
        <v>38072681</v>
      </c>
      <c r="E13" s="110">
        <v>38896945</v>
      </c>
      <c r="F13" s="110">
        <v>0</v>
      </c>
      <c r="G13" s="289"/>
      <c r="H13" s="290"/>
      <c r="I13" s="109">
        <v>35982612</v>
      </c>
      <c r="J13" s="109">
        <v>53337953</v>
      </c>
      <c r="K13" s="110">
        <v>51354465</v>
      </c>
      <c r="L13" s="110">
        <v>0</v>
      </c>
      <c r="M13" s="289"/>
      <c r="N13" s="290"/>
      <c r="O13" s="109">
        <v>20823949.17450447</v>
      </c>
      <c r="P13" s="109">
        <v>233785371</v>
      </c>
      <c r="Q13" s="110">
        <v>223725322</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41480753</v>
      </c>
      <c r="AT13" s="113">
        <v>39767673</v>
      </c>
      <c r="AU13" s="113">
        <v>0</v>
      </c>
      <c r="AV13" s="311"/>
      <c r="AW13" s="318"/>
    </row>
    <row r="14" spans="1:49" ht="25.35" x14ac:dyDescent="0.4">
      <c r="B14" s="155" t="s">
        <v>231</v>
      </c>
      <c r="C14" s="62" t="s">
        <v>6</v>
      </c>
      <c r="D14" s="109">
        <v>2703179</v>
      </c>
      <c r="E14" s="110">
        <v>2813333</v>
      </c>
      <c r="F14" s="110">
        <v>0</v>
      </c>
      <c r="G14" s="288"/>
      <c r="H14" s="291"/>
      <c r="I14" s="109">
        <v>2805381</v>
      </c>
      <c r="J14" s="109">
        <v>3622444</v>
      </c>
      <c r="K14" s="110">
        <v>3714359</v>
      </c>
      <c r="L14" s="110">
        <v>0</v>
      </c>
      <c r="M14" s="288"/>
      <c r="N14" s="291"/>
      <c r="O14" s="109">
        <v>1623537.13</v>
      </c>
      <c r="P14" s="109">
        <v>16242956</v>
      </c>
      <c r="Q14" s="110">
        <v>16181576</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3656211</v>
      </c>
      <c r="AT14" s="113">
        <v>2797215</v>
      </c>
      <c r="AU14" s="113">
        <v>0</v>
      </c>
      <c r="AV14" s="311"/>
      <c r="AW14" s="318"/>
    </row>
    <row r="15" spans="1:49" ht="25.35" x14ac:dyDescent="0.4">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35" x14ac:dyDescent="0.4">
      <c r="B16" s="155" t="s">
        <v>233</v>
      </c>
      <c r="C16" s="62" t="s">
        <v>61</v>
      </c>
      <c r="D16" s="109">
        <v>-3024961</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13">
        <v>3275631</v>
      </c>
      <c r="AT16" s="113">
        <v>0</v>
      </c>
      <c r="AU16" s="113">
        <v>0</v>
      </c>
      <c r="AV16" s="311"/>
      <c r="AW16" s="318"/>
    </row>
    <row r="17" spans="1:49" x14ac:dyDescent="0.4">
      <c r="B17" s="155" t="s">
        <v>234</v>
      </c>
      <c r="C17" s="62" t="s">
        <v>62</v>
      </c>
      <c r="D17" s="109">
        <v>1088581</v>
      </c>
      <c r="E17" s="288"/>
      <c r="F17" s="291"/>
      <c r="G17" s="291"/>
      <c r="H17" s="291"/>
      <c r="I17" s="292"/>
      <c r="J17" s="109">
        <v>-6279953</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13">
        <v>0</v>
      </c>
      <c r="AT17" s="113">
        <v>0</v>
      </c>
      <c r="AU17" s="113">
        <v>0</v>
      </c>
      <c r="AV17" s="311"/>
      <c r="AW17" s="318"/>
    </row>
    <row r="18" spans="1:49" x14ac:dyDescent="0.4">
      <c r="B18" s="155" t="s">
        <v>235</v>
      </c>
      <c r="C18" s="62" t="s">
        <v>63</v>
      </c>
      <c r="D18" s="109">
        <v>0</v>
      </c>
      <c r="E18" s="288"/>
      <c r="F18" s="291"/>
      <c r="G18" s="291"/>
      <c r="H18" s="294"/>
      <c r="I18" s="292"/>
      <c r="J18" s="109">
        <v>2384</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13">
        <v>0</v>
      </c>
      <c r="AT18" s="113">
        <v>0</v>
      </c>
      <c r="AU18" s="113">
        <v>0</v>
      </c>
      <c r="AV18" s="311"/>
      <c r="AW18" s="318"/>
    </row>
    <row r="19" spans="1:49" x14ac:dyDescent="0.4">
      <c r="B19" s="155" t="s">
        <v>236</v>
      </c>
      <c r="C19" s="62" t="s">
        <v>64</v>
      </c>
      <c r="D19" s="109">
        <v>0</v>
      </c>
      <c r="E19" s="288"/>
      <c r="F19" s="291"/>
      <c r="G19" s="291"/>
      <c r="H19" s="291"/>
      <c r="I19" s="292"/>
      <c r="J19" s="109">
        <v>2384</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13">
        <v>0</v>
      </c>
      <c r="AT19" s="113">
        <v>0</v>
      </c>
      <c r="AU19" s="113">
        <v>0</v>
      </c>
      <c r="AV19" s="311"/>
      <c r="AW19" s="318"/>
    </row>
    <row r="20" spans="1:49" x14ac:dyDescent="0.4">
      <c r="B20" s="155" t="s">
        <v>237</v>
      </c>
      <c r="C20" s="62" t="s">
        <v>65</v>
      </c>
      <c r="D20" s="109">
        <v>0</v>
      </c>
      <c r="E20" s="288"/>
      <c r="F20" s="291"/>
      <c r="G20" s="291"/>
      <c r="H20" s="291"/>
      <c r="I20" s="292"/>
      <c r="J20" s="109">
        <v>6279953</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4">
      <c r="B21" s="155" t="s">
        <v>238</v>
      </c>
      <c r="C21" s="62" t="s">
        <v>66</v>
      </c>
      <c r="D21" s="109">
        <v>5412</v>
      </c>
      <c r="E21" s="288"/>
      <c r="F21" s="291"/>
      <c r="G21" s="291"/>
      <c r="H21" s="291"/>
      <c r="I21" s="292"/>
      <c r="J21" s="109">
        <v>5099</v>
      </c>
      <c r="K21" s="288"/>
      <c r="L21" s="291"/>
      <c r="M21" s="291"/>
      <c r="N21" s="291"/>
      <c r="O21" s="292"/>
      <c r="P21" s="109">
        <v>21998</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3392</v>
      </c>
      <c r="AU21" s="113">
        <v>0</v>
      </c>
      <c r="AV21" s="311"/>
      <c r="AW21" s="318"/>
    </row>
    <row r="22" spans="1:49" x14ac:dyDescent="0.4">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80</v>
      </c>
      <c r="Q22" s="115">
        <f>+'Pt 2 Premium and Claims'!Q55</f>
        <v>80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4">
      <c r="A26" s="35"/>
      <c r="B26" s="158" t="s">
        <v>243</v>
      </c>
      <c r="C26" s="62"/>
      <c r="D26" s="109">
        <v>210765</v>
      </c>
      <c r="E26" s="110">
        <v>209496</v>
      </c>
      <c r="F26" s="110">
        <v>0</v>
      </c>
      <c r="G26" s="110">
        <v>0</v>
      </c>
      <c r="H26" s="110">
        <v>0</v>
      </c>
      <c r="I26" s="109">
        <v>194606</v>
      </c>
      <c r="J26" s="109">
        <v>164375</v>
      </c>
      <c r="K26" s="110">
        <v>166112</v>
      </c>
      <c r="L26" s="110">
        <v>0</v>
      </c>
      <c r="M26" s="110">
        <v>0</v>
      </c>
      <c r="N26" s="110">
        <v>0</v>
      </c>
      <c r="O26" s="109">
        <v>72028</v>
      </c>
      <c r="P26" s="109">
        <v>724856.40512399166</v>
      </c>
      <c r="Q26" s="110">
        <v>714747</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65485</v>
      </c>
      <c r="AU26" s="113">
        <v>0</v>
      </c>
      <c r="AV26" s="113">
        <v>0</v>
      </c>
      <c r="AW26" s="318"/>
    </row>
    <row r="27" spans="1:49" s="5" customFormat="1" x14ac:dyDescent="0.4">
      <c r="B27" s="158" t="s">
        <v>244</v>
      </c>
      <c r="C27" s="62"/>
      <c r="D27" s="109">
        <v>96142</v>
      </c>
      <c r="E27" s="110">
        <v>125056</v>
      </c>
      <c r="F27" s="110">
        <v>0</v>
      </c>
      <c r="G27" s="110">
        <v>0</v>
      </c>
      <c r="H27" s="110">
        <v>0</v>
      </c>
      <c r="I27" s="109">
        <v>0</v>
      </c>
      <c r="J27" s="109">
        <v>2957102</v>
      </c>
      <c r="K27" s="110">
        <v>2761920</v>
      </c>
      <c r="L27" s="110">
        <v>0</v>
      </c>
      <c r="M27" s="110">
        <v>0</v>
      </c>
      <c r="N27" s="110">
        <v>0</v>
      </c>
      <c r="O27" s="109">
        <v>0</v>
      </c>
      <c r="P27" s="109">
        <v>9947484</v>
      </c>
      <c r="Q27" s="110">
        <v>10087924</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4192836</v>
      </c>
      <c r="AT27" s="113">
        <v>1874150</v>
      </c>
      <c r="AU27" s="113">
        <v>0</v>
      </c>
      <c r="AV27" s="314"/>
      <c r="AW27" s="318"/>
    </row>
    <row r="28" spans="1:49" s="5" customFormat="1" x14ac:dyDescent="0.4">
      <c r="A28" s="35"/>
      <c r="B28" s="158" t="s">
        <v>245</v>
      </c>
      <c r="C28" s="62"/>
      <c r="D28" s="109">
        <v>12253667</v>
      </c>
      <c r="E28" s="110">
        <v>12246335</v>
      </c>
      <c r="F28" s="110">
        <v>0</v>
      </c>
      <c r="G28" s="110">
        <v>0</v>
      </c>
      <c r="H28" s="110">
        <v>0</v>
      </c>
      <c r="I28" s="109">
        <v>12136862</v>
      </c>
      <c r="J28" s="109">
        <v>1290231</v>
      </c>
      <c r="K28" s="110">
        <v>1284976</v>
      </c>
      <c r="L28" s="110">
        <v>0</v>
      </c>
      <c r="M28" s="110">
        <v>0</v>
      </c>
      <c r="N28" s="110">
        <v>0</v>
      </c>
      <c r="O28" s="109">
        <v>610423</v>
      </c>
      <c r="P28" s="109">
        <v>5217244</v>
      </c>
      <c r="Q28" s="110">
        <v>5155405</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1028720</v>
      </c>
      <c r="AT28" s="113">
        <v>765311</v>
      </c>
      <c r="AU28" s="113">
        <v>0</v>
      </c>
      <c r="AV28" s="113">
        <v>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-407856</v>
      </c>
      <c r="E30" s="110">
        <v>-588734</v>
      </c>
      <c r="F30" s="110">
        <v>0</v>
      </c>
      <c r="G30" s="110">
        <v>0</v>
      </c>
      <c r="H30" s="110">
        <v>0</v>
      </c>
      <c r="I30" s="109">
        <v>2394588.8002653662</v>
      </c>
      <c r="J30" s="109">
        <v>-392362</v>
      </c>
      <c r="K30" s="110">
        <v>-526148</v>
      </c>
      <c r="L30" s="110">
        <v>0</v>
      </c>
      <c r="M30" s="110">
        <v>0</v>
      </c>
      <c r="N30" s="110">
        <v>0</v>
      </c>
      <c r="O30" s="109">
        <v>1018172.2602486175</v>
      </c>
      <c r="P30" s="109">
        <v>-1959264</v>
      </c>
      <c r="Q30" s="110">
        <v>-2543196</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-397016</v>
      </c>
      <c r="AU30" s="113">
        <v>0</v>
      </c>
      <c r="AV30" s="113">
        <v>0</v>
      </c>
      <c r="AW30" s="318"/>
    </row>
    <row r="31" spans="1:49" x14ac:dyDescent="0.4">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x14ac:dyDescent="0.4">
      <c r="B32" s="158" t="s">
        <v>249</v>
      </c>
      <c r="C32" s="62" t="s">
        <v>82</v>
      </c>
      <c r="D32" s="109">
        <v>180840</v>
      </c>
      <c r="E32" s="110">
        <v>179751</v>
      </c>
      <c r="F32" s="110">
        <v>0</v>
      </c>
      <c r="G32" s="110">
        <v>0</v>
      </c>
      <c r="H32" s="110">
        <v>0</v>
      </c>
      <c r="I32" s="109">
        <v>166975</v>
      </c>
      <c r="J32" s="109">
        <v>141036</v>
      </c>
      <c r="K32" s="110">
        <v>142527</v>
      </c>
      <c r="L32" s="110">
        <v>0</v>
      </c>
      <c r="M32" s="110">
        <v>0</v>
      </c>
      <c r="N32" s="110">
        <v>0</v>
      </c>
      <c r="O32" s="109">
        <v>61801</v>
      </c>
      <c r="P32" s="109">
        <v>621937</v>
      </c>
      <c r="Q32" s="110">
        <v>613263</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56187</v>
      </c>
      <c r="AU32" s="113">
        <v>0</v>
      </c>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1106441</v>
      </c>
      <c r="E34" s="110">
        <v>5766574</v>
      </c>
      <c r="F34" s="110">
        <v>0</v>
      </c>
      <c r="G34" s="110">
        <v>0</v>
      </c>
      <c r="H34" s="110">
        <v>0</v>
      </c>
      <c r="I34" s="109">
        <v>5356719</v>
      </c>
      <c r="J34" s="109">
        <v>5154920</v>
      </c>
      <c r="K34" s="110">
        <v>5154920</v>
      </c>
      <c r="L34" s="110">
        <v>0</v>
      </c>
      <c r="M34" s="110">
        <v>0</v>
      </c>
      <c r="N34" s="110">
        <v>0</v>
      </c>
      <c r="O34" s="109">
        <v>2235232</v>
      </c>
      <c r="P34" s="109">
        <v>20515202</v>
      </c>
      <c r="Q34" s="110">
        <v>20255999</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2305993</v>
      </c>
      <c r="AU34" s="113">
        <v>0</v>
      </c>
      <c r="AV34" s="113">
        <v>0</v>
      </c>
      <c r="AW34" s="318"/>
    </row>
    <row r="35" spans="1:49" x14ac:dyDescent="0.4">
      <c r="B35" s="158" t="s">
        <v>252</v>
      </c>
      <c r="C35" s="62"/>
      <c r="D35" s="109">
        <v>102778</v>
      </c>
      <c r="E35" s="110">
        <v>102370</v>
      </c>
      <c r="F35" s="110">
        <v>0</v>
      </c>
      <c r="G35" s="110">
        <v>0</v>
      </c>
      <c r="H35" s="110">
        <v>0</v>
      </c>
      <c r="I35" s="109">
        <v>93474</v>
      </c>
      <c r="J35" s="109">
        <v>96845</v>
      </c>
      <c r="K35" s="110">
        <v>96902</v>
      </c>
      <c r="L35" s="110">
        <v>0</v>
      </c>
      <c r="M35" s="110">
        <v>0</v>
      </c>
      <c r="N35" s="110">
        <v>0</v>
      </c>
      <c r="O35" s="109">
        <v>43524</v>
      </c>
      <c r="P35" s="109">
        <v>393615</v>
      </c>
      <c r="Q35" s="110">
        <v>387357</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72025</v>
      </c>
      <c r="AU35" s="113">
        <v>0</v>
      </c>
      <c r="AV35" s="113">
        <v>0</v>
      </c>
      <c r="AW35" s="318"/>
    </row>
    <row r="36" spans="1:49" ht="16.7" thickBot="1" x14ac:dyDescent="0.4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 thickTop="1" x14ac:dyDescent="0.4">
      <c r="B37" s="160" t="s">
        <v>254</v>
      </c>
      <c r="C37" s="61" t="s">
        <v>15</v>
      </c>
      <c r="D37" s="117">
        <v>1087348</v>
      </c>
      <c r="E37" s="118">
        <v>1107314</v>
      </c>
      <c r="F37" s="118">
        <v>0</v>
      </c>
      <c r="G37" s="118">
        <v>0</v>
      </c>
      <c r="H37" s="118">
        <v>0</v>
      </c>
      <c r="I37" s="109">
        <v>1028612</v>
      </c>
      <c r="J37" s="109">
        <v>848022</v>
      </c>
      <c r="K37" s="110">
        <v>878005</v>
      </c>
      <c r="L37" s="118">
        <v>0</v>
      </c>
      <c r="M37" s="118">
        <v>0</v>
      </c>
      <c r="N37" s="118">
        <v>0</v>
      </c>
      <c r="O37" s="117">
        <v>380713</v>
      </c>
      <c r="P37" s="117">
        <v>3739570</v>
      </c>
      <c r="Q37" s="118">
        <v>3777873</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2272830</v>
      </c>
      <c r="AT37" s="119">
        <v>402506</v>
      </c>
      <c r="AU37" s="119">
        <v>0</v>
      </c>
      <c r="AV37" s="119">
        <v>0</v>
      </c>
      <c r="AW37" s="317"/>
    </row>
    <row r="38" spans="1:49" x14ac:dyDescent="0.4">
      <c r="B38" s="155" t="s">
        <v>255</v>
      </c>
      <c r="C38" s="62" t="s">
        <v>16</v>
      </c>
      <c r="D38" s="109">
        <v>488025</v>
      </c>
      <c r="E38" s="110">
        <v>492916</v>
      </c>
      <c r="F38" s="110">
        <v>0</v>
      </c>
      <c r="G38" s="110">
        <v>0</v>
      </c>
      <c r="H38" s="110">
        <v>0</v>
      </c>
      <c r="I38" s="109">
        <v>457882</v>
      </c>
      <c r="J38" s="109">
        <v>380611</v>
      </c>
      <c r="K38" s="110">
        <v>390840</v>
      </c>
      <c r="L38" s="110">
        <v>0</v>
      </c>
      <c r="M38" s="110">
        <v>0</v>
      </c>
      <c r="N38" s="110">
        <v>0</v>
      </c>
      <c r="O38" s="109">
        <v>169473</v>
      </c>
      <c r="P38" s="109">
        <v>1678402</v>
      </c>
      <c r="Q38" s="110">
        <v>1681705</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1967957</v>
      </c>
      <c r="AT38" s="113">
        <v>181950</v>
      </c>
      <c r="AU38" s="113">
        <v>0</v>
      </c>
      <c r="AV38" s="113">
        <v>0</v>
      </c>
      <c r="AW38" s="318"/>
    </row>
    <row r="39" spans="1:49" x14ac:dyDescent="0.4">
      <c r="B39" s="158" t="s">
        <v>256</v>
      </c>
      <c r="C39" s="62" t="s">
        <v>17</v>
      </c>
      <c r="D39" s="109">
        <v>672287</v>
      </c>
      <c r="E39" s="110">
        <v>675578</v>
      </c>
      <c r="F39" s="110">
        <v>0</v>
      </c>
      <c r="G39" s="110">
        <v>0</v>
      </c>
      <c r="H39" s="110">
        <v>0</v>
      </c>
      <c r="I39" s="109">
        <v>627562</v>
      </c>
      <c r="J39" s="109">
        <v>524315</v>
      </c>
      <c r="K39" s="110">
        <v>535676</v>
      </c>
      <c r="L39" s="110">
        <v>0</v>
      </c>
      <c r="M39" s="110">
        <v>0</v>
      </c>
      <c r="N39" s="110">
        <v>0</v>
      </c>
      <c r="O39" s="109">
        <v>232275</v>
      </c>
      <c r="P39" s="109">
        <v>2312103</v>
      </c>
      <c r="Q39" s="110">
        <v>2304901</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605451</v>
      </c>
      <c r="AT39" s="113">
        <v>251580</v>
      </c>
      <c r="AU39" s="113">
        <v>0</v>
      </c>
      <c r="AV39" s="113">
        <v>0</v>
      </c>
      <c r="AW39" s="318"/>
    </row>
    <row r="40" spans="1:49" x14ac:dyDescent="0.4">
      <c r="B40" s="158" t="s">
        <v>257</v>
      </c>
      <c r="C40" s="62" t="s">
        <v>38</v>
      </c>
      <c r="D40" s="109">
        <v>416158</v>
      </c>
      <c r="E40" s="110">
        <v>430333</v>
      </c>
      <c r="F40" s="110">
        <v>0</v>
      </c>
      <c r="G40" s="110">
        <v>0</v>
      </c>
      <c r="H40" s="110">
        <v>0</v>
      </c>
      <c r="I40" s="109">
        <v>399747</v>
      </c>
      <c r="J40" s="109">
        <v>324561</v>
      </c>
      <c r="K40" s="110">
        <v>341217</v>
      </c>
      <c r="L40" s="110">
        <v>0</v>
      </c>
      <c r="M40" s="110">
        <v>0</v>
      </c>
      <c r="N40" s="110">
        <v>0</v>
      </c>
      <c r="O40" s="109">
        <v>147956</v>
      </c>
      <c r="P40" s="109">
        <v>1431240</v>
      </c>
      <c r="Q40" s="110">
        <v>1468187</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703735</v>
      </c>
      <c r="AT40" s="113">
        <v>155156</v>
      </c>
      <c r="AU40" s="113">
        <v>0</v>
      </c>
      <c r="AV40" s="113">
        <v>0</v>
      </c>
      <c r="AW40" s="318"/>
    </row>
    <row r="41" spans="1:49" s="5" customFormat="1" x14ac:dyDescent="0.4">
      <c r="A41" s="35"/>
      <c r="B41" s="158" t="s">
        <v>258</v>
      </c>
      <c r="C41" s="62" t="s">
        <v>129</v>
      </c>
      <c r="D41" s="109">
        <v>2161302</v>
      </c>
      <c r="E41" s="110">
        <v>2040637</v>
      </c>
      <c r="F41" s="110">
        <v>0</v>
      </c>
      <c r="G41" s="110">
        <v>0</v>
      </c>
      <c r="H41" s="110">
        <v>0</v>
      </c>
      <c r="I41" s="109">
        <v>1895600</v>
      </c>
      <c r="J41" s="109">
        <v>1685593</v>
      </c>
      <c r="K41" s="110">
        <v>1618050</v>
      </c>
      <c r="L41" s="110">
        <v>0</v>
      </c>
      <c r="M41" s="110">
        <v>0</v>
      </c>
      <c r="N41" s="110">
        <v>0</v>
      </c>
      <c r="O41" s="109">
        <v>701605</v>
      </c>
      <c r="P41" s="109">
        <v>7433067</v>
      </c>
      <c r="Q41" s="110">
        <v>6962133</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1058163</v>
      </c>
      <c r="AT41" s="113">
        <v>805955</v>
      </c>
      <c r="AU41" s="113">
        <v>0</v>
      </c>
      <c r="AV41" s="113">
        <v>0</v>
      </c>
      <c r="AW41" s="318"/>
    </row>
    <row r="42" spans="1:49" s="5" customFormat="1" ht="24.95" customHeight="1" x14ac:dyDescent="0.4">
      <c r="A42" s="35"/>
      <c r="B42" s="155" t="s">
        <v>259</v>
      </c>
      <c r="C42" s="62" t="s">
        <v>87</v>
      </c>
      <c r="D42" s="109">
        <v>144371</v>
      </c>
      <c r="E42" s="110">
        <v>143501</v>
      </c>
      <c r="F42" s="110">
        <v>0</v>
      </c>
      <c r="G42" s="110">
        <v>0</v>
      </c>
      <c r="H42" s="110">
        <v>0</v>
      </c>
      <c r="I42" s="109">
        <v>133302</v>
      </c>
      <c r="J42" s="109">
        <v>112594</v>
      </c>
      <c r="K42" s="110">
        <v>113784</v>
      </c>
      <c r="L42" s="110">
        <v>0</v>
      </c>
      <c r="M42" s="110">
        <v>0</v>
      </c>
      <c r="N42" s="110">
        <v>0</v>
      </c>
      <c r="O42" s="109">
        <v>49338</v>
      </c>
      <c r="P42" s="109">
        <v>496514</v>
      </c>
      <c r="Q42" s="110">
        <v>489590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87876</v>
      </c>
      <c r="AT42" s="113">
        <v>60707</v>
      </c>
      <c r="AU42" s="113">
        <v>0</v>
      </c>
      <c r="AV42" s="113">
        <v>0</v>
      </c>
      <c r="AW42" s="318"/>
    </row>
    <row r="43" spans="1:49" ht="16.7" thickBot="1" x14ac:dyDescent="0.4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5937035</v>
      </c>
      <c r="E44" s="118">
        <v>5901283</v>
      </c>
      <c r="F44" s="118">
        <v>0</v>
      </c>
      <c r="G44" s="118">
        <v>0</v>
      </c>
      <c r="H44" s="118">
        <v>0</v>
      </c>
      <c r="I44" s="117">
        <v>5481853</v>
      </c>
      <c r="J44" s="117">
        <v>4630279</v>
      </c>
      <c r="K44" s="118">
        <v>4679210</v>
      </c>
      <c r="L44" s="118">
        <v>0</v>
      </c>
      <c r="M44" s="118">
        <v>0</v>
      </c>
      <c r="N44" s="118">
        <v>0</v>
      </c>
      <c r="O44" s="117">
        <v>2028959</v>
      </c>
      <c r="P44" s="117">
        <v>20418433</v>
      </c>
      <c r="Q44" s="118">
        <v>20133671</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3465851</v>
      </c>
      <c r="AT44" s="119">
        <v>2158485</v>
      </c>
      <c r="AU44" s="119">
        <v>0</v>
      </c>
      <c r="AV44" s="119">
        <v>0</v>
      </c>
      <c r="AW44" s="317"/>
    </row>
    <row r="45" spans="1:49" x14ac:dyDescent="0.4">
      <c r="B45" s="161" t="s">
        <v>262</v>
      </c>
      <c r="C45" s="62" t="s">
        <v>19</v>
      </c>
      <c r="D45" s="109">
        <v>10982643</v>
      </c>
      <c r="E45" s="110">
        <v>11475322</v>
      </c>
      <c r="F45" s="110">
        <v>0</v>
      </c>
      <c r="G45" s="110">
        <v>0</v>
      </c>
      <c r="H45" s="110">
        <v>0</v>
      </c>
      <c r="I45" s="109">
        <v>10659722</v>
      </c>
      <c r="J45" s="109">
        <v>8565336</v>
      </c>
      <c r="K45" s="110">
        <v>8558751</v>
      </c>
      <c r="L45" s="110">
        <v>0</v>
      </c>
      <c r="M45" s="110">
        <v>0</v>
      </c>
      <c r="N45" s="110">
        <v>0</v>
      </c>
      <c r="O45" s="109">
        <v>3711172</v>
      </c>
      <c r="P45" s="109">
        <v>37771100</v>
      </c>
      <c r="Q45" s="110">
        <v>36826532</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6151770</v>
      </c>
      <c r="AT45" s="113">
        <v>3990765</v>
      </c>
      <c r="AU45" s="113">
        <v>0</v>
      </c>
      <c r="AV45" s="113">
        <v>0</v>
      </c>
      <c r="AW45" s="318"/>
    </row>
    <row r="46" spans="1:49" x14ac:dyDescent="0.4">
      <c r="B46" s="161" t="s">
        <v>263</v>
      </c>
      <c r="C46" s="62" t="s">
        <v>20</v>
      </c>
      <c r="D46" s="109">
        <v>1359404</v>
      </c>
      <c r="E46" s="110">
        <v>1354012</v>
      </c>
      <c r="F46" s="110">
        <v>0</v>
      </c>
      <c r="G46" s="110">
        <v>0</v>
      </c>
      <c r="H46" s="110">
        <v>0</v>
      </c>
      <c r="I46" s="109">
        <v>1241270</v>
      </c>
      <c r="J46" s="109">
        <v>1280932</v>
      </c>
      <c r="K46" s="110">
        <v>1281687</v>
      </c>
      <c r="L46" s="110">
        <v>0</v>
      </c>
      <c r="M46" s="110">
        <v>0</v>
      </c>
      <c r="N46" s="110">
        <v>0</v>
      </c>
      <c r="O46" s="109">
        <v>575673</v>
      </c>
      <c r="P46" s="109">
        <v>5525699</v>
      </c>
      <c r="Q46" s="110">
        <v>5442909</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2376146</v>
      </c>
      <c r="AT46" s="113">
        <v>952647</v>
      </c>
      <c r="AU46" s="113">
        <v>0</v>
      </c>
      <c r="AV46" s="113">
        <v>0</v>
      </c>
      <c r="AW46" s="318"/>
    </row>
    <row r="47" spans="1:49" x14ac:dyDescent="0.4">
      <c r="B47" s="161" t="s">
        <v>264</v>
      </c>
      <c r="C47" s="62" t="s">
        <v>21</v>
      </c>
      <c r="D47" s="109">
        <v>9573386</v>
      </c>
      <c r="E47" s="110">
        <v>9573386</v>
      </c>
      <c r="F47" s="110">
        <v>0</v>
      </c>
      <c r="G47" s="110">
        <v>0</v>
      </c>
      <c r="H47" s="110">
        <v>0</v>
      </c>
      <c r="I47" s="109">
        <v>8741447</v>
      </c>
      <c r="J47" s="109">
        <v>19922894</v>
      </c>
      <c r="K47" s="110">
        <v>19922894</v>
      </c>
      <c r="L47" s="110">
        <v>0</v>
      </c>
      <c r="M47" s="110">
        <v>0</v>
      </c>
      <c r="N47" s="110">
        <v>0</v>
      </c>
      <c r="O47" s="109">
        <v>8948425</v>
      </c>
      <c r="P47" s="109">
        <v>42797001</v>
      </c>
      <c r="Q47" s="110">
        <v>42375030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3722580</v>
      </c>
      <c r="AT47" s="113">
        <v>2522141</v>
      </c>
      <c r="AU47" s="113">
        <v>0</v>
      </c>
      <c r="AV47" s="113">
        <v>0</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16741</v>
      </c>
      <c r="E49" s="110">
        <v>16668.008885059833</v>
      </c>
      <c r="F49" s="110">
        <v>0</v>
      </c>
      <c r="G49" s="110">
        <v>0</v>
      </c>
      <c r="H49" s="110">
        <v>0</v>
      </c>
      <c r="I49" s="109">
        <v>15238</v>
      </c>
      <c r="J49" s="109">
        <v>15774</v>
      </c>
      <c r="K49" s="110">
        <v>15823</v>
      </c>
      <c r="L49" s="110">
        <v>0</v>
      </c>
      <c r="M49" s="110">
        <v>0</v>
      </c>
      <c r="N49" s="110">
        <v>0</v>
      </c>
      <c r="O49" s="109">
        <v>7107</v>
      </c>
      <c r="P49" s="109">
        <v>68047</v>
      </c>
      <c r="Q49" s="110">
        <v>66999</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10490</v>
      </c>
      <c r="AU49" s="113">
        <v>0</v>
      </c>
      <c r="AV49" s="113">
        <v>0</v>
      </c>
      <c r="AW49" s="318"/>
    </row>
    <row r="50" spans="2:49" ht="25.35" x14ac:dyDescent="0.4">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4">
      <c r="B51" s="155" t="s">
        <v>267</v>
      </c>
      <c r="C51" s="62"/>
      <c r="D51" s="109">
        <v>23921653</v>
      </c>
      <c r="E51" s="110">
        <v>38577921</v>
      </c>
      <c r="F51" s="110">
        <v>0</v>
      </c>
      <c r="G51" s="110">
        <v>0</v>
      </c>
      <c r="H51" s="110">
        <v>0</v>
      </c>
      <c r="I51" s="109">
        <v>36514222</v>
      </c>
      <c r="J51" s="109">
        <v>22545602</v>
      </c>
      <c r="K51" s="110">
        <v>20055496</v>
      </c>
      <c r="L51" s="110">
        <v>0</v>
      </c>
      <c r="M51" s="110">
        <v>0</v>
      </c>
      <c r="N51" s="110">
        <v>0</v>
      </c>
      <c r="O51" s="109">
        <v>7638308</v>
      </c>
      <c r="P51" s="109">
        <v>97255247</v>
      </c>
      <c r="Q51" s="110">
        <v>84818439</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20805652</v>
      </c>
      <c r="AT51" s="113">
        <v>18390640</v>
      </c>
      <c r="AU51" s="113">
        <v>0</v>
      </c>
      <c r="AV51" s="113">
        <v>0</v>
      </c>
      <c r="AW51" s="318"/>
    </row>
    <row r="52" spans="2:49" ht="25.35" x14ac:dyDescent="0.4">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35" x14ac:dyDescent="0.4">
      <c r="B53" s="155" t="s">
        <v>269</v>
      </c>
      <c r="C53" s="62" t="s">
        <v>88</v>
      </c>
      <c r="D53" s="109">
        <v>144371</v>
      </c>
      <c r="E53" s="110">
        <v>143501</v>
      </c>
      <c r="F53" s="110">
        <v>0</v>
      </c>
      <c r="G53" s="289"/>
      <c r="H53" s="289"/>
      <c r="I53" s="109">
        <v>133302</v>
      </c>
      <c r="J53" s="109">
        <v>112594</v>
      </c>
      <c r="K53" s="110">
        <v>113784</v>
      </c>
      <c r="L53" s="110">
        <v>0</v>
      </c>
      <c r="M53" s="289"/>
      <c r="N53" s="289"/>
      <c r="O53" s="109">
        <v>49338</v>
      </c>
      <c r="P53" s="109">
        <v>496514</v>
      </c>
      <c r="Q53" s="110">
        <v>489590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87876</v>
      </c>
      <c r="AT53" s="113">
        <v>60707</v>
      </c>
      <c r="AU53" s="113">
        <v>0</v>
      </c>
      <c r="AV53" s="113">
        <v>0</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80066</v>
      </c>
      <c r="E56" s="122">
        <v>79444</v>
      </c>
      <c r="F56" s="122">
        <v>0</v>
      </c>
      <c r="G56" s="122">
        <v>0</v>
      </c>
      <c r="H56" s="122">
        <v>0</v>
      </c>
      <c r="I56" s="121">
        <v>74245</v>
      </c>
      <c r="J56" s="121">
        <v>40480</v>
      </c>
      <c r="K56" s="122">
        <v>39920</v>
      </c>
      <c r="L56" s="122">
        <v>0</v>
      </c>
      <c r="M56" s="122">
        <v>0</v>
      </c>
      <c r="N56" s="122">
        <v>0</v>
      </c>
      <c r="O56" s="121">
        <v>38269</v>
      </c>
      <c r="P56" s="121">
        <v>163762</v>
      </c>
      <c r="Q56" s="122">
        <v>161765</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54475</v>
      </c>
      <c r="AT56" s="123">
        <v>25716</v>
      </c>
      <c r="AU56" s="123">
        <v>0</v>
      </c>
      <c r="AV56" s="123">
        <v>0</v>
      </c>
      <c r="AW56" s="309"/>
    </row>
    <row r="57" spans="2:49" x14ac:dyDescent="0.4">
      <c r="B57" s="161" t="s">
        <v>273</v>
      </c>
      <c r="C57" s="62" t="s">
        <v>25</v>
      </c>
      <c r="D57" s="124">
        <v>112194</v>
      </c>
      <c r="E57" s="125">
        <v>111527</v>
      </c>
      <c r="F57" s="125">
        <v>0</v>
      </c>
      <c r="G57" s="125">
        <v>0</v>
      </c>
      <c r="H57" s="125">
        <v>0</v>
      </c>
      <c r="I57" s="124">
        <v>104228</v>
      </c>
      <c r="J57" s="124">
        <v>80226</v>
      </c>
      <c r="K57" s="125">
        <v>79746</v>
      </c>
      <c r="L57" s="125">
        <v>0</v>
      </c>
      <c r="M57" s="125">
        <v>0</v>
      </c>
      <c r="N57" s="125">
        <v>0</v>
      </c>
      <c r="O57" s="124">
        <v>76447</v>
      </c>
      <c r="P57" s="124">
        <v>356252</v>
      </c>
      <c r="Q57" s="125">
        <v>352884</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62803</v>
      </c>
      <c r="AT57" s="126">
        <v>41382</v>
      </c>
      <c r="AU57" s="126">
        <v>0</v>
      </c>
      <c r="AV57" s="126">
        <v>0</v>
      </c>
      <c r="AW57" s="310"/>
    </row>
    <row r="58" spans="2:49" x14ac:dyDescent="0.4">
      <c r="B58" s="161" t="s">
        <v>274</v>
      </c>
      <c r="C58" s="62" t="s">
        <v>26</v>
      </c>
      <c r="D58" s="330"/>
      <c r="E58" s="331"/>
      <c r="F58" s="331"/>
      <c r="G58" s="331"/>
      <c r="H58" s="331"/>
      <c r="I58" s="330"/>
      <c r="J58" s="124">
        <v>5006</v>
      </c>
      <c r="K58" s="125">
        <v>5012</v>
      </c>
      <c r="L58" s="125">
        <v>0</v>
      </c>
      <c r="M58" s="125">
        <v>0</v>
      </c>
      <c r="N58" s="125">
        <v>0</v>
      </c>
      <c r="O58" s="124">
        <v>4805</v>
      </c>
      <c r="P58" s="124">
        <v>2042</v>
      </c>
      <c r="Q58" s="125">
        <v>2020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111</v>
      </c>
      <c r="AT58" s="126">
        <v>6</v>
      </c>
      <c r="AU58" s="126">
        <v>0</v>
      </c>
      <c r="AV58" s="126">
        <v>0</v>
      </c>
      <c r="AW58" s="310"/>
    </row>
    <row r="59" spans="2:49" x14ac:dyDescent="0.4">
      <c r="B59" s="161" t="s">
        <v>275</v>
      </c>
      <c r="C59" s="62" t="s">
        <v>27</v>
      </c>
      <c r="D59" s="124">
        <v>1198605</v>
      </c>
      <c r="E59" s="125">
        <v>1191387</v>
      </c>
      <c r="F59" s="125">
        <v>0</v>
      </c>
      <c r="G59" s="125">
        <v>0</v>
      </c>
      <c r="H59" s="125">
        <v>0</v>
      </c>
      <c r="I59" s="124">
        <v>1113415</v>
      </c>
      <c r="J59" s="124">
        <v>934789</v>
      </c>
      <c r="K59" s="125">
        <v>944667</v>
      </c>
      <c r="L59" s="125">
        <v>0</v>
      </c>
      <c r="M59" s="125">
        <v>0</v>
      </c>
      <c r="N59" s="125">
        <v>0</v>
      </c>
      <c r="O59" s="124">
        <v>411923</v>
      </c>
      <c r="P59" s="124">
        <v>4122198</v>
      </c>
      <c r="Q59" s="125">
        <v>4064709</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729571</v>
      </c>
      <c r="AT59" s="126">
        <v>504003</v>
      </c>
      <c r="AU59" s="126">
        <v>0</v>
      </c>
      <c r="AV59" s="126">
        <v>0</v>
      </c>
      <c r="AW59" s="310"/>
    </row>
    <row r="60" spans="2:49" x14ac:dyDescent="0.4">
      <c r="B60" s="161" t="s">
        <v>276</v>
      </c>
      <c r="C60" s="62"/>
      <c r="D60" s="127">
        <f>D59/12</f>
        <v>99883.75</v>
      </c>
      <c r="E60" s="128">
        <f t="shared" ref="E60:AC60" si="0">E59/12</f>
        <v>99282.25</v>
      </c>
      <c r="F60" s="128">
        <f t="shared" si="0"/>
        <v>0</v>
      </c>
      <c r="G60" s="128">
        <f t="shared" si="0"/>
        <v>0</v>
      </c>
      <c r="H60" s="128">
        <f t="shared" si="0"/>
        <v>0</v>
      </c>
      <c r="I60" s="127">
        <f t="shared" si="0"/>
        <v>92784.583333333328</v>
      </c>
      <c r="J60" s="127">
        <f t="shared" si="0"/>
        <v>77899.083333333328</v>
      </c>
      <c r="K60" s="128">
        <f t="shared" si="0"/>
        <v>78722.25</v>
      </c>
      <c r="L60" s="128">
        <f t="shared" si="0"/>
        <v>0</v>
      </c>
      <c r="M60" s="128">
        <f t="shared" si="0"/>
        <v>0</v>
      </c>
      <c r="N60" s="128">
        <f t="shared" si="0"/>
        <v>0</v>
      </c>
      <c r="O60" s="127">
        <f t="shared" si="0"/>
        <v>34326.916666666664</v>
      </c>
      <c r="P60" s="127">
        <f t="shared" si="0"/>
        <v>343516.5</v>
      </c>
      <c r="Q60" s="128">
        <f t="shared" si="0"/>
        <v>338725.75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 t="shared" ref="AS60" si="1">AS59/12</f>
        <v>60797.583333333336</v>
      </c>
      <c r="AT60" s="129">
        <f t="shared" ref="AT60" si="2">AT59/12</f>
        <v>42000.25</v>
      </c>
      <c r="AU60" s="129">
        <f t="shared" ref="AU60" si="3">AU59/12</f>
        <v>0</v>
      </c>
      <c r="AV60" s="129">
        <f t="shared" ref="AV60" si="4">AV59/12</f>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29428352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545386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44:AD47 D49:AD52 D34:AD35 D30:AD32 D25:AD28 D37:AD4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AS16:AT19">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xWindow="588" yWindow="450"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7030A0"/>
    <pageSetUpPr fitToPage="1"/>
  </sheetPr>
  <dimension ref="A1:BB64"/>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sqref="A1:XFD1048576"/>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364682336</v>
      </c>
      <c r="E5" s="118">
        <v>363169749.53322577</v>
      </c>
      <c r="F5" s="118">
        <v>0</v>
      </c>
      <c r="G5" s="130">
        <v>0</v>
      </c>
      <c r="H5" s="130">
        <v>0</v>
      </c>
      <c r="I5" s="117">
        <v>357914650.22906107</v>
      </c>
      <c r="J5" s="117">
        <v>343630910</v>
      </c>
      <c r="K5" s="118">
        <v>351068256.32964671</v>
      </c>
      <c r="L5" s="118">
        <v>0</v>
      </c>
      <c r="M5" s="118">
        <v>0</v>
      </c>
      <c r="N5" s="118">
        <v>0</v>
      </c>
      <c r="O5" s="117">
        <v>158481113.03023505</v>
      </c>
      <c r="P5" s="117">
        <v>1482359039</v>
      </c>
      <c r="Q5" s="118">
        <v>1452500523.8657923</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637439956</v>
      </c>
      <c r="AT5" s="119">
        <v>255563084</v>
      </c>
      <c r="AU5" s="119">
        <v>0</v>
      </c>
      <c r="AV5" s="312"/>
      <c r="AW5" s="317"/>
    </row>
    <row r="6" spans="2:49" x14ac:dyDescent="0.4">
      <c r="B6" s="176" t="s">
        <v>279</v>
      </c>
      <c r="C6" s="133" t="s">
        <v>8</v>
      </c>
      <c r="D6" s="109">
        <v>331</v>
      </c>
      <c r="E6" s="110">
        <v>331</v>
      </c>
      <c r="F6" s="110">
        <v>0</v>
      </c>
      <c r="G6" s="111">
        <v>0</v>
      </c>
      <c r="H6" s="111">
        <v>0</v>
      </c>
      <c r="I6" s="109">
        <v>0</v>
      </c>
      <c r="J6" s="109">
        <v>870710</v>
      </c>
      <c r="K6" s="110">
        <v>870710.38134884532</v>
      </c>
      <c r="L6" s="110">
        <v>0</v>
      </c>
      <c r="M6" s="110">
        <v>0</v>
      </c>
      <c r="N6" s="110">
        <v>0</v>
      </c>
      <c r="O6" s="109">
        <v>391082</v>
      </c>
      <c r="P6" s="109">
        <v>581447</v>
      </c>
      <c r="Q6" s="110">
        <v>581446.60865115467</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200</v>
      </c>
      <c r="AT6" s="113">
        <v>614426</v>
      </c>
      <c r="AU6" s="113">
        <v>0</v>
      </c>
      <c r="AV6" s="311"/>
      <c r="AW6" s="318"/>
    </row>
    <row r="7" spans="2:49" x14ac:dyDescent="0.4">
      <c r="B7" s="176" t="s">
        <v>280</v>
      </c>
      <c r="C7" s="133" t="s">
        <v>9</v>
      </c>
      <c r="D7" s="109">
        <v>109</v>
      </c>
      <c r="E7" s="110">
        <v>109</v>
      </c>
      <c r="F7" s="110">
        <v>0</v>
      </c>
      <c r="G7" s="111">
        <v>0</v>
      </c>
      <c r="H7" s="111">
        <v>0</v>
      </c>
      <c r="I7" s="109">
        <v>0</v>
      </c>
      <c r="J7" s="109">
        <v>14755</v>
      </c>
      <c r="K7" s="110">
        <v>12854.57</v>
      </c>
      <c r="L7" s="110">
        <v>0</v>
      </c>
      <c r="M7" s="110">
        <v>0</v>
      </c>
      <c r="N7" s="110">
        <v>0</v>
      </c>
      <c r="O7" s="109">
        <v>5774</v>
      </c>
      <c r="P7" s="109">
        <v>1197404</v>
      </c>
      <c r="Q7" s="110">
        <v>1189367.9099999999</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703200</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58538583</v>
      </c>
      <c r="E11" s="110">
        <v>0</v>
      </c>
      <c r="F11" s="110">
        <v>0</v>
      </c>
      <c r="G11" s="110">
        <v>0</v>
      </c>
      <c r="H11" s="110">
        <v>0</v>
      </c>
      <c r="I11" s="109">
        <v>0</v>
      </c>
      <c r="J11" s="109">
        <v>6462196</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93765</v>
      </c>
      <c r="AT11" s="113">
        <v>0</v>
      </c>
      <c r="AU11" s="113">
        <v>0</v>
      </c>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4538</v>
      </c>
      <c r="AT12" s="113">
        <v>0</v>
      </c>
      <c r="AU12" s="113">
        <v>0</v>
      </c>
      <c r="AV12" s="311"/>
      <c r="AW12" s="318"/>
    </row>
    <row r="13" spans="2:49" x14ac:dyDescent="0.4">
      <c r="B13" s="176" t="s">
        <v>284</v>
      </c>
      <c r="C13" s="133" t="s">
        <v>10</v>
      </c>
      <c r="D13" s="109">
        <v>135687</v>
      </c>
      <c r="E13" s="110">
        <v>135687.02999999997</v>
      </c>
      <c r="F13" s="110">
        <v>0</v>
      </c>
      <c r="G13" s="110">
        <v>0</v>
      </c>
      <c r="H13" s="110">
        <v>0</v>
      </c>
      <c r="I13" s="109">
        <v>133499</v>
      </c>
      <c r="J13" s="109">
        <v>1970</v>
      </c>
      <c r="K13" s="110">
        <v>1970</v>
      </c>
      <c r="L13" s="110">
        <v>0</v>
      </c>
      <c r="M13" s="110">
        <v>0</v>
      </c>
      <c r="N13" s="110">
        <v>0</v>
      </c>
      <c r="O13" s="109">
        <v>885</v>
      </c>
      <c r="P13" s="109">
        <v>8495</v>
      </c>
      <c r="Q13" s="110">
        <v>8495</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120803</v>
      </c>
      <c r="AT13" s="113">
        <v>767</v>
      </c>
      <c r="AU13" s="113">
        <v>0</v>
      </c>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35" x14ac:dyDescent="0.4">
      <c r="B15" s="178" t="s">
        <v>286</v>
      </c>
      <c r="C15" s="133"/>
      <c r="D15" s="109">
        <v>0</v>
      </c>
      <c r="E15" s="110">
        <v>54508071</v>
      </c>
      <c r="F15" s="110">
        <v>0</v>
      </c>
      <c r="G15" s="110">
        <v>0</v>
      </c>
      <c r="H15" s="110">
        <v>0</v>
      </c>
      <c r="I15" s="109">
        <v>54508071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-47134095.640000001</v>
      </c>
      <c r="F16" s="110">
        <v>0</v>
      </c>
      <c r="G16" s="110">
        <v>0</v>
      </c>
      <c r="H16" s="110">
        <v>0</v>
      </c>
      <c r="I16" s="109">
        <v>-47134095.640000001</v>
      </c>
      <c r="J16" s="109">
        <v>0</v>
      </c>
      <c r="K16" s="110">
        <v>-5478914.4199999999</v>
      </c>
      <c r="L16" s="110">
        <v>0</v>
      </c>
      <c r="M16" s="110">
        <v>0</v>
      </c>
      <c r="N16" s="110">
        <v>0</v>
      </c>
      <c r="O16" s="109">
        <v>-5478914.4199999999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5402756.3326910147</v>
      </c>
      <c r="F17" s="269">
        <v>0</v>
      </c>
      <c r="G17" s="269">
        <v>0</v>
      </c>
      <c r="H17" s="110">
        <v>0</v>
      </c>
      <c r="I17" s="293"/>
      <c r="J17" s="109">
        <v>0</v>
      </c>
      <c r="K17" s="269">
        <v>-47526.911767973572</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-5608733</v>
      </c>
      <c r="E18" s="110">
        <v>-948600.24</v>
      </c>
      <c r="F18" s="110">
        <v>0</v>
      </c>
      <c r="G18" s="110">
        <v>0</v>
      </c>
      <c r="H18" s="110">
        <v>0</v>
      </c>
      <c r="I18" s="109">
        <v>0</v>
      </c>
      <c r="J18" s="109">
        <v>-5573578</v>
      </c>
      <c r="K18" s="110">
        <v>-5701650.8424759312</v>
      </c>
      <c r="L18" s="110">
        <v>0</v>
      </c>
      <c r="M18" s="110">
        <v>0</v>
      </c>
      <c r="N18" s="110">
        <v>0</v>
      </c>
      <c r="O18" s="109">
        <v>0</v>
      </c>
      <c r="P18" s="109">
        <v>-24661653</v>
      </c>
      <c r="Q18" s="110">
        <v>-24533023</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-2890826</v>
      </c>
      <c r="AT18" s="113">
        <v>-2247150</v>
      </c>
      <c r="AU18" s="113">
        <v>0</v>
      </c>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35" x14ac:dyDescent="0.4">
      <c r="B20" s="178" t="s">
        <v>486</v>
      </c>
      <c r="C20" s="133"/>
      <c r="D20" s="109">
        <v>0</v>
      </c>
      <c r="E20" s="110">
        <v>48015406.469999999</v>
      </c>
      <c r="F20" s="110">
        <v>0</v>
      </c>
      <c r="G20" s="110">
        <v>0</v>
      </c>
      <c r="H20" s="110">
        <v>0</v>
      </c>
      <c r="I20" s="109">
        <v>48015406.469999999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217804886</v>
      </c>
      <c r="E23" s="288"/>
      <c r="F23" s="288"/>
      <c r="G23" s="288"/>
      <c r="H23" s="288"/>
      <c r="I23" s="292"/>
      <c r="J23" s="109">
        <v>241369552</v>
      </c>
      <c r="K23" s="288"/>
      <c r="L23" s="288"/>
      <c r="M23" s="288"/>
      <c r="N23" s="288"/>
      <c r="O23" s="292"/>
      <c r="P23" s="109">
        <v>1168026012</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549786843</v>
      </c>
      <c r="AT23" s="113">
        <v>223020783</v>
      </c>
      <c r="AU23" s="113">
        <v>0</v>
      </c>
      <c r="AV23" s="311"/>
      <c r="AW23" s="318"/>
    </row>
    <row r="24" spans="2:49" ht="28.5" customHeight="1" x14ac:dyDescent="0.4">
      <c r="B24" s="178" t="s">
        <v>114</v>
      </c>
      <c r="C24" s="133"/>
      <c r="D24" s="293"/>
      <c r="E24" s="110">
        <v>325718111</v>
      </c>
      <c r="F24" s="110">
        <v>0</v>
      </c>
      <c r="G24" s="110">
        <v>0</v>
      </c>
      <c r="H24" s="110">
        <v>0</v>
      </c>
      <c r="I24" s="109">
        <v>324080193</v>
      </c>
      <c r="J24" s="293"/>
      <c r="K24" s="110">
        <v>243928711</v>
      </c>
      <c r="L24" s="110">
        <v>0</v>
      </c>
      <c r="M24" s="110">
        <v>0</v>
      </c>
      <c r="N24" s="110">
        <v>0</v>
      </c>
      <c r="O24" s="109">
        <v>108212655.55488989</v>
      </c>
      <c r="P24" s="293"/>
      <c r="Q24" s="110">
        <v>1156402156</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25018944</v>
      </c>
      <c r="E26" s="288"/>
      <c r="F26" s="288"/>
      <c r="G26" s="288"/>
      <c r="H26" s="288"/>
      <c r="I26" s="292"/>
      <c r="J26" s="109">
        <v>31301017</v>
      </c>
      <c r="K26" s="288"/>
      <c r="L26" s="288"/>
      <c r="M26" s="288"/>
      <c r="N26" s="288"/>
      <c r="O26" s="292"/>
      <c r="P26" s="109">
        <v>167614963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64597595</v>
      </c>
      <c r="AT26" s="113">
        <v>20174749</v>
      </c>
      <c r="AU26" s="113">
        <v>0</v>
      </c>
      <c r="AV26" s="311"/>
      <c r="AW26" s="318"/>
    </row>
    <row r="27" spans="2:49" s="5" customFormat="1" ht="25.35" x14ac:dyDescent="0.4">
      <c r="B27" s="178" t="s">
        <v>85</v>
      </c>
      <c r="C27" s="133"/>
      <c r="D27" s="293"/>
      <c r="E27" s="110">
        <v>6493001</v>
      </c>
      <c r="F27" s="110">
        <v>0</v>
      </c>
      <c r="G27" s="110">
        <v>0</v>
      </c>
      <c r="H27" s="110">
        <v>0</v>
      </c>
      <c r="I27" s="109">
        <v>6260629</v>
      </c>
      <c r="J27" s="293"/>
      <c r="K27" s="110">
        <v>3892253</v>
      </c>
      <c r="L27" s="110">
        <v>0</v>
      </c>
      <c r="M27" s="110">
        <v>0</v>
      </c>
      <c r="N27" s="110">
        <v>0</v>
      </c>
      <c r="O27" s="109">
        <v>974511.63</v>
      </c>
      <c r="P27" s="293"/>
      <c r="Q27" s="110">
        <v>19066233</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2894320</v>
      </c>
      <c r="E28" s="289"/>
      <c r="F28" s="289"/>
      <c r="G28" s="289"/>
      <c r="H28" s="289"/>
      <c r="I28" s="293"/>
      <c r="J28" s="109">
        <v>28544690</v>
      </c>
      <c r="K28" s="289"/>
      <c r="L28" s="289"/>
      <c r="M28" s="289"/>
      <c r="N28" s="289"/>
      <c r="O28" s="293"/>
      <c r="P28" s="109">
        <v>168827155</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54950151</v>
      </c>
      <c r="AT28" s="113">
        <v>20409463</v>
      </c>
      <c r="AU28" s="113">
        <v>0</v>
      </c>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35" x14ac:dyDescent="0.4">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4">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2" customHeight="1" x14ac:dyDescent="0.4">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58538583</v>
      </c>
      <c r="E41" s="288"/>
      <c r="F41" s="288"/>
      <c r="G41" s="288"/>
      <c r="H41" s="288"/>
      <c r="I41" s="292"/>
      <c r="J41" s="109">
        <v>6462196</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93765</v>
      </c>
      <c r="AT41" s="113">
        <v>0</v>
      </c>
      <c r="AU41" s="113">
        <v>0</v>
      </c>
      <c r="AV41" s="311"/>
      <c r="AW41" s="318"/>
    </row>
    <row r="42" spans="2:49" s="5" customFormat="1" x14ac:dyDescent="0.4">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4538</v>
      </c>
      <c r="AT43" s="113">
        <v>0</v>
      </c>
      <c r="AU43" s="113">
        <v>0</v>
      </c>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1164027</v>
      </c>
      <c r="E45" s="110">
        <v>0</v>
      </c>
      <c r="F45" s="110">
        <v>0</v>
      </c>
      <c r="G45" s="110">
        <v>0</v>
      </c>
      <c r="H45" s="110">
        <v>0</v>
      </c>
      <c r="I45" s="109">
        <v>0</v>
      </c>
      <c r="J45" s="109">
        <v>7408783</v>
      </c>
      <c r="K45" s="110">
        <v>0</v>
      </c>
      <c r="L45" s="110">
        <v>0</v>
      </c>
      <c r="M45" s="110">
        <v>0</v>
      </c>
      <c r="N45" s="110">
        <v>0</v>
      </c>
      <c r="O45" s="109">
        <v>0</v>
      </c>
      <c r="P45" s="109">
        <v>32818180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9621492</v>
      </c>
      <c r="AT45" s="113">
        <v>3020586</v>
      </c>
      <c r="AU45" s="113">
        <v>0</v>
      </c>
      <c r="AV45" s="311"/>
      <c r="AW45" s="318"/>
    </row>
    <row r="46" spans="2:49" x14ac:dyDescent="0.4">
      <c r="B46" s="176" t="s">
        <v>116</v>
      </c>
      <c r="C46" s="133" t="s">
        <v>31</v>
      </c>
      <c r="D46" s="109">
        <v>9668506</v>
      </c>
      <c r="E46" s="110">
        <v>10826494</v>
      </c>
      <c r="F46" s="110">
        <v>0</v>
      </c>
      <c r="G46" s="110">
        <v>0</v>
      </c>
      <c r="H46" s="110">
        <v>0</v>
      </c>
      <c r="I46" s="109">
        <v>10814469</v>
      </c>
      <c r="J46" s="109">
        <v>7194834</v>
      </c>
      <c r="K46" s="110">
        <v>9421146</v>
      </c>
      <c r="L46" s="110">
        <v>0</v>
      </c>
      <c r="M46" s="110">
        <v>0</v>
      </c>
      <c r="N46" s="110">
        <v>0</v>
      </c>
      <c r="O46" s="109">
        <v>4000959.69</v>
      </c>
      <c r="P46" s="109">
        <v>47490355</v>
      </c>
      <c r="Q46" s="110">
        <v>36409022</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13975695</v>
      </c>
      <c r="AT46" s="113">
        <v>3835547</v>
      </c>
      <c r="AU46" s="113">
        <v>0</v>
      </c>
      <c r="AV46" s="311"/>
      <c r="AW46" s="318"/>
    </row>
    <row r="47" spans="2:49" x14ac:dyDescent="0.4">
      <c r="B47" s="176" t="s">
        <v>117</v>
      </c>
      <c r="C47" s="133" t="s">
        <v>32</v>
      </c>
      <c r="D47" s="109">
        <v>200719</v>
      </c>
      <c r="E47" s="289"/>
      <c r="F47" s="289"/>
      <c r="G47" s="289"/>
      <c r="H47" s="289"/>
      <c r="I47" s="293"/>
      <c r="J47" s="109">
        <v>5872256</v>
      </c>
      <c r="K47" s="289"/>
      <c r="L47" s="289"/>
      <c r="M47" s="289"/>
      <c r="N47" s="289"/>
      <c r="O47" s="293"/>
      <c r="P47" s="109">
        <v>41229004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13199602</v>
      </c>
      <c r="AT47" s="113">
        <v>3428689</v>
      </c>
      <c r="AU47" s="113">
        <v>0</v>
      </c>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2087570</v>
      </c>
      <c r="E49" s="110">
        <v>1458335</v>
      </c>
      <c r="F49" s="110">
        <v>0</v>
      </c>
      <c r="G49" s="110">
        <v>0</v>
      </c>
      <c r="H49" s="110">
        <v>0</v>
      </c>
      <c r="I49" s="109">
        <v>1454250</v>
      </c>
      <c r="J49" s="109">
        <v>2797907</v>
      </c>
      <c r="K49" s="110">
        <v>1925396</v>
      </c>
      <c r="L49" s="110">
        <v>0</v>
      </c>
      <c r="M49" s="110">
        <v>0</v>
      </c>
      <c r="N49" s="110">
        <v>0</v>
      </c>
      <c r="O49" s="109">
        <v>852654</v>
      </c>
      <c r="P49" s="109">
        <v>14706270</v>
      </c>
      <c r="Q49" s="110">
        <v>8387973</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1636847</v>
      </c>
      <c r="AT49" s="113">
        <v>0</v>
      </c>
      <c r="AU49" s="113">
        <v>0</v>
      </c>
      <c r="AV49" s="311"/>
      <c r="AW49" s="318"/>
    </row>
    <row r="50" spans="2:49" x14ac:dyDescent="0.4">
      <c r="B50" s="176" t="s">
        <v>119</v>
      </c>
      <c r="C50" s="133" t="s">
        <v>34</v>
      </c>
      <c r="D50" s="109">
        <v>186965</v>
      </c>
      <c r="E50" s="289"/>
      <c r="F50" s="289"/>
      <c r="G50" s="289"/>
      <c r="H50" s="289"/>
      <c r="I50" s="293"/>
      <c r="J50" s="109">
        <v>3399551</v>
      </c>
      <c r="K50" s="289"/>
      <c r="L50" s="289"/>
      <c r="M50" s="289"/>
      <c r="N50" s="289"/>
      <c r="O50" s="293"/>
      <c r="P50" s="109">
        <v>15721770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1361815</v>
      </c>
      <c r="AT50" s="113">
        <v>0</v>
      </c>
      <c r="AU50" s="113">
        <v>0</v>
      </c>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4">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4">
      <c r="B54" s="181" t="s">
        <v>303</v>
      </c>
      <c r="C54" s="136" t="s">
        <v>77</v>
      </c>
      <c r="D54" s="114">
        <f>D23+D26-D28+D30-D32+D34-D36+D38+D41-D43+D45+D46-D47-D49+D50+D51+D52+D53</f>
        <v>307199302</v>
      </c>
      <c r="E54" s="115">
        <f>E24+E27+E31+E35-E36+E39+E42+E45+E46-E49+E51+E52+E53</f>
        <v>341579271</v>
      </c>
      <c r="F54" s="115">
        <f t="shared" ref="F54:H54" si="0">F24+F27+F31+F35-F36+F39+F42+F45+F46-F49+F51+F52+F53</f>
        <v>0</v>
      </c>
      <c r="G54" s="115">
        <f t="shared" si="0"/>
        <v>0</v>
      </c>
      <c r="H54" s="115">
        <f t="shared" si="0"/>
        <v>0</v>
      </c>
      <c r="I54" s="114">
        <f>I24+I27+I31+I35-I36+I39+I42+I45+I46-I49+I51+I52+I53</f>
        <v>339701041</v>
      </c>
      <c r="J54" s="114">
        <f>J23+J26-J28+J30-J32+J34-J36+J38+J41-J43+J45+J46-J47-J49+J50+J51+J52+J53</f>
        <v>259921080</v>
      </c>
      <c r="K54" s="115">
        <f>K24+K27+K31+K35-K36+K39+K42+K45+K46-K49+K51+K52+K53</f>
        <v>255316714</v>
      </c>
      <c r="L54" s="115">
        <f t="shared" ref="L54:O54" si="1">L24+L27+L31+L35-L36+L39+L42+L45+L46-L49+L51+L52+L53</f>
        <v>0</v>
      </c>
      <c r="M54" s="115">
        <f t="shared" si="1"/>
        <v>0</v>
      </c>
      <c r="N54" s="115">
        <f t="shared" si="1"/>
        <v>0</v>
      </c>
      <c r="O54" s="114">
        <f t="shared" si="1"/>
        <v>112335472.87488988</v>
      </c>
      <c r="P54" s="114">
        <f>P23+P26-P28+P30-P32+P34-P36+P38+P41-P43+P45+P46-P47-P49+P50+P51+P52+P53</f>
        <v>1206908851</v>
      </c>
      <c r="Q54" s="115">
        <f>Q24+Q27+Q31+Q35-Q36+Q39+Q42+Q45+Q46-Q49+Q51+Q52+Q53</f>
        <v>1203489438</v>
      </c>
      <c r="R54" s="115">
        <f t="shared" ref="R54:AC54" si="2">R24+R27+R31+R35-R36+R39+R42+R45+R46-R49+R51+R52+R53</f>
        <v>0</v>
      </c>
      <c r="S54" s="115">
        <f t="shared" si="2"/>
        <v>0</v>
      </c>
      <c r="T54" s="115">
        <f t="shared" si="2"/>
        <v>0</v>
      </c>
      <c r="U54" s="114">
        <f>U23+U26-U28+U30-U32+U34-U36+U38+U41-U43+U45+U46-U47-U49+U50+U51+U52+U53</f>
        <v>0</v>
      </c>
      <c r="V54" s="115">
        <f t="shared" ref="V54" si="3">V24+V27+V31+V35-V36+V39+V42+V45+V46-V49+V51+V52+V53</f>
        <v>0</v>
      </c>
      <c r="W54" s="115">
        <f t="shared" ref="W54" si="4">W24+W27+W31+W35-W36+W39+W42+W45+W46-W49+W51+W52+W53</f>
        <v>0</v>
      </c>
      <c r="X54" s="114">
        <f>X23+X26-X28+X30-X32+X34-X36+X38+X41-X43+X45+X46-X47-X49+X50+X51+X52+X53</f>
        <v>0</v>
      </c>
      <c r="Y54" s="115">
        <f t="shared" si="2"/>
        <v>0</v>
      </c>
      <c r="Z54" s="115">
        <f t="shared" si="2"/>
        <v>0</v>
      </c>
      <c r="AA54" s="114">
        <f>AA23+AA26-AA28+AA30-AA32+AA34-AA36+AA38+AA41-AA43+AA45+AA46-AA47-AA49+AA50+AA51+AA52+AA53</f>
        <v>0</v>
      </c>
      <c r="AB54" s="115">
        <f t="shared" si="2"/>
        <v>0</v>
      </c>
      <c r="AC54" s="115">
        <f t="shared" si="2"/>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569646067</v>
      </c>
      <c r="AT54" s="116">
        <f>AT23+AT26-AT28+AT30-AT32+AT34-AT36+AT38+AT41-AT43+AT45+AT46-AT47-AT49+AT50+AT51+AT52+AT53</f>
        <v>226213513</v>
      </c>
      <c r="AU54" s="116">
        <f>AU23+AU26-AU28+AU30-AU32+AU34-AU36+AU38+AU41-AU43+AU45+AU46-AU47-AU49+AU50+AU51+AU52+AU53</f>
        <v>0</v>
      </c>
      <c r="AV54" s="311"/>
      <c r="AW54" s="318"/>
    </row>
    <row r="55" spans="2:49" x14ac:dyDescent="0.4">
      <c r="B55" s="181" t="s">
        <v>304</v>
      </c>
      <c r="C55" s="137" t="s">
        <v>28</v>
      </c>
      <c r="D55" s="114">
        <f>MIN(D56:D57)</f>
        <v>0</v>
      </c>
      <c r="E55" s="115">
        <f t="shared" ref="E55:U55" si="5">MIN(E56:E57)</f>
        <v>0</v>
      </c>
      <c r="F55" s="115">
        <f t="shared" si="5"/>
        <v>0</v>
      </c>
      <c r="G55" s="115">
        <f t="shared" si="5"/>
        <v>0</v>
      </c>
      <c r="H55" s="115">
        <f t="shared" si="5"/>
        <v>0</v>
      </c>
      <c r="I55" s="114">
        <f t="shared" si="5"/>
        <v>0</v>
      </c>
      <c r="J55" s="114">
        <f t="shared" si="5"/>
        <v>0</v>
      </c>
      <c r="K55" s="115">
        <f t="shared" si="5"/>
        <v>0</v>
      </c>
      <c r="L55" s="115">
        <f t="shared" si="5"/>
        <v>0</v>
      </c>
      <c r="M55" s="115">
        <f t="shared" si="5"/>
        <v>0</v>
      </c>
      <c r="N55" s="115">
        <f t="shared" si="5"/>
        <v>0</v>
      </c>
      <c r="O55" s="114">
        <f t="shared" si="5"/>
        <v>0</v>
      </c>
      <c r="P55" s="114">
        <f t="shared" si="5"/>
        <v>80</v>
      </c>
      <c r="Q55" s="115">
        <f t="shared" si="5"/>
        <v>80</v>
      </c>
      <c r="R55" s="115">
        <f t="shared" si="5"/>
        <v>0</v>
      </c>
      <c r="S55" s="115">
        <f t="shared" si="5"/>
        <v>0</v>
      </c>
      <c r="T55" s="115">
        <f t="shared" si="5"/>
        <v>0</v>
      </c>
      <c r="U55" s="114">
        <f t="shared" si="5"/>
        <v>0</v>
      </c>
      <c r="V55" s="115">
        <f t="shared" ref="V55" si="6">MIN(V56:V57)</f>
        <v>0</v>
      </c>
      <c r="W55" s="115">
        <f t="shared" ref="W55:X55" si="7">MIN(W56:W57)</f>
        <v>0</v>
      </c>
      <c r="X55" s="114">
        <f t="shared" si="7"/>
        <v>0</v>
      </c>
      <c r="Y55" s="115">
        <f t="shared" ref="Y55:AA55" si="8">MIN(Y56:Y57)</f>
        <v>0</v>
      </c>
      <c r="Z55" s="115">
        <f t="shared" si="8"/>
        <v>0</v>
      </c>
      <c r="AA55" s="114">
        <f t="shared" si="8"/>
        <v>0</v>
      </c>
      <c r="AB55" s="115">
        <f t="shared" ref="AB55" si="9">MIN(AB56:AB57)</f>
        <v>0</v>
      </c>
      <c r="AC55" s="115">
        <f t="shared" ref="AC55" si="10">MIN(AC56:AC57)</f>
        <v>0</v>
      </c>
      <c r="AD55" s="114"/>
      <c r="AE55" s="288"/>
      <c r="AF55" s="288"/>
      <c r="AG55" s="288"/>
      <c r="AH55" s="288"/>
      <c r="AI55" s="114"/>
      <c r="AJ55" s="288"/>
      <c r="AK55" s="288"/>
      <c r="AL55" s="288"/>
      <c r="AM55" s="288"/>
      <c r="AN55" s="114"/>
      <c r="AO55" s="115"/>
      <c r="AP55" s="115"/>
      <c r="AQ55" s="115"/>
      <c r="AR55" s="115"/>
      <c r="AS55" s="114">
        <f t="shared" ref="AS55:AU55" si="11">MIN(AS56:AS57)</f>
        <v>0</v>
      </c>
      <c r="AT55" s="116">
        <f t="shared" si="11"/>
        <v>0</v>
      </c>
      <c r="AU55" s="116">
        <f t="shared" si="11"/>
        <v>0</v>
      </c>
      <c r="AV55" s="311"/>
      <c r="AW55" s="318"/>
    </row>
    <row r="56" spans="2:49" ht="11.85" customHeight="1" x14ac:dyDescent="0.4">
      <c r="B56" s="176" t="s">
        <v>120</v>
      </c>
      <c r="C56" s="137" t="s">
        <v>452</v>
      </c>
      <c r="D56" s="109">
        <v>35227</v>
      </c>
      <c r="E56" s="110">
        <v>35307</v>
      </c>
      <c r="F56" s="110">
        <v>0</v>
      </c>
      <c r="G56" s="110">
        <v>0</v>
      </c>
      <c r="H56" s="110">
        <v>0</v>
      </c>
      <c r="I56" s="109">
        <v>32798</v>
      </c>
      <c r="J56" s="109">
        <v>27474</v>
      </c>
      <c r="K56" s="110">
        <v>27996</v>
      </c>
      <c r="L56" s="110">
        <v>0</v>
      </c>
      <c r="M56" s="110">
        <v>0</v>
      </c>
      <c r="N56" s="110">
        <v>0</v>
      </c>
      <c r="O56" s="109">
        <v>11885</v>
      </c>
      <c r="P56" s="109">
        <v>121153</v>
      </c>
      <c r="Q56" s="110">
        <v>120460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4">
      <c r="B57" s="176" t="s">
        <v>121</v>
      </c>
      <c r="C57" s="137" t="s">
        <v>29</v>
      </c>
      <c r="D57" s="109">
        <v>0</v>
      </c>
      <c r="E57" s="110">
        <v>0</v>
      </c>
      <c r="F57" s="110">
        <v>0</v>
      </c>
      <c r="G57" s="110">
        <v>0</v>
      </c>
      <c r="H57" s="110">
        <v>0</v>
      </c>
      <c r="I57" s="109">
        <v>0</v>
      </c>
      <c r="J57" s="109">
        <v>0</v>
      </c>
      <c r="K57" s="110">
        <v>0</v>
      </c>
      <c r="L57" s="110">
        <v>0</v>
      </c>
      <c r="M57" s="110">
        <v>0</v>
      </c>
      <c r="N57" s="110">
        <v>0</v>
      </c>
      <c r="O57" s="109">
        <v>0</v>
      </c>
      <c r="P57" s="109">
        <v>80</v>
      </c>
      <c r="Q57" s="110">
        <v>80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4">
      <c r="B58" s="184" t="s">
        <v>485</v>
      </c>
      <c r="C58" s="185"/>
      <c r="D58" s="186">
        <v>0</v>
      </c>
      <c r="E58" s="187">
        <v>48015406.469999999</v>
      </c>
      <c r="F58" s="187">
        <v>0</v>
      </c>
      <c r="G58" s="187">
        <v>0</v>
      </c>
      <c r="H58" s="187">
        <v>0</v>
      </c>
      <c r="I58" s="186">
        <v>48015406.469999999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row r="64" spans="2:49" hidden="1" x14ac:dyDescent="0.4"/>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AT53">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xWindow="657" yWindow="579"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sqref="A1:XFD104857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21106325.949714612</v>
      </c>
      <c r="D5" s="118">
        <v>23589545.072860744</v>
      </c>
      <c r="E5" s="346"/>
      <c r="F5" s="346"/>
      <c r="G5" s="312"/>
      <c r="H5" s="117">
        <v>293626954.15075052</v>
      </c>
      <c r="I5" s="118">
        <v>284344882.29655153</v>
      </c>
      <c r="J5" s="346"/>
      <c r="K5" s="346"/>
      <c r="L5" s="312"/>
      <c r="M5" s="117">
        <v>1214724678.0741739</v>
      </c>
      <c r="N5" s="118">
        <v>1159875937.2100699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x14ac:dyDescent="0.4">
      <c r="A6" s="142"/>
      <c r="B6" s="191" t="s">
        <v>311</v>
      </c>
      <c r="C6" s="109">
        <v>21447858</v>
      </c>
      <c r="D6" s="110">
        <v>25423233</v>
      </c>
      <c r="E6" s="115">
        <f>+'Pt 1 Summary of Data'!E12+'Pt 1 Summary of Data'!E22</f>
        <v>341579271</v>
      </c>
      <c r="F6" s="115">
        <f t="shared" ref="F6:F7" si="0">SUM(C6:E6)</f>
        <v>388450362</v>
      </c>
      <c r="G6" s="116">
        <f>+'Pt 1 Summary of Data'!I12+'Pt 1 Summary of Data'!I22</f>
        <v>339701041</v>
      </c>
      <c r="H6" s="109">
        <v>292426296.7233091</v>
      </c>
      <c r="I6" s="110">
        <v>277363583</v>
      </c>
      <c r="J6" s="115">
        <f>+'Pt 1 Summary of Data'!K12+'Pt 1 Summary of Data'!K22</f>
        <v>255316714</v>
      </c>
      <c r="K6" s="115">
        <f t="shared" ref="K6:K7" si="1">SUM(H6:J6)</f>
        <v>825106593.72330904</v>
      </c>
      <c r="L6" s="116">
        <f>+'Pt 1 Summary of Data'!O12+'Pt 1 Summary of Data'!O22</f>
        <v>112335472.87488988</v>
      </c>
      <c r="M6" s="109">
        <v>1220062969.5895491</v>
      </c>
      <c r="N6" s="110">
        <v>1134108545</v>
      </c>
      <c r="O6" s="115">
        <f>+'Pt 1 Summary of Data'!Q12+'Pt 1 Summary of Data'!Q22</f>
        <v>1203489518</v>
      </c>
      <c r="P6" s="115">
        <f>SUM(M6:O6)</f>
        <v>3557661032.5895491</v>
      </c>
      <c r="Q6" s="109">
        <v>0</v>
      </c>
      <c r="R6" s="110">
        <v>0</v>
      </c>
      <c r="S6" s="115"/>
      <c r="T6" s="115"/>
      <c r="U6" s="109">
        <v>0</v>
      </c>
      <c r="V6" s="110">
        <v>0</v>
      </c>
      <c r="W6" s="115"/>
      <c r="X6" s="115"/>
      <c r="Y6" s="109">
        <v>0</v>
      </c>
      <c r="Z6" s="110">
        <v>0</v>
      </c>
      <c r="AA6" s="115"/>
      <c r="AB6" s="115"/>
      <c r="AC6" s="292"/>
      <c r="AD6" s="288"/>
      <c r="AE6" s="288"/>
      <c r="AF6" s="288"/>
      <c r="AG6" s="292"/>
      <c r="AH6" s="288"/>
      <c r="AI6" s="288"/>
      <c r="AJ6" s="288"/>
      <c r="AK6" s="292"/>
      <c r="AL6" s="110"/>
      <c r="AM6" s="115"/>
      <c r="AN6" s="253"/>
    </row>
    <row r="7" spans="1:40" x14ac:dyDescent="0.4">
      <c r="B7" s="191" t="s">
        <v>312</v>
      </c>
      <c r="C7" s="109">
        <v>250048.02386282777</v>
      </c>
      <c r="D7" s="110">
        <v>250289.01863114044</v>
      </c>
      <c r="E7" s="115">
        <f>SUM('Pt 1 Summary of Data'!E37:E42)</f>
        <v>4890279</v>
      </c>
      <c r="F7" s="115">
        <f t="shared" si="0"/>
        <v>5390616.0424939683</v>
      </c>
      <c r="G7" s="116">
        <f>SUM('Pt 1 Summary of Data'!I37:I42)</f>
        <v>4542705</v>
      </c>
      <c r="H7" s="109">
        <v>4261794.1109222639</v>
      </c>
      <c r="I7" s="110">
        <v>5025010.1128677865</v>
      </c>
      <c r="J7" s="115">
        <f>SUM('Pt 1 Summary of Data'!K37:K42)</f>
        <v>3877572</v>
      </c>
      <c r="K7" s="115">
        <f t="shared" si="1"/>
        <v>13164376.22379005</v>
      </c>
      <c r="L7" s="116">
        <f>SUM('Pt 1 Summary of Data'!O37:O42)</f>
        <v>1681360</v>
      </c>
      <c r="M7" s="109">
        <v>12969133.625422575</v>
      </c>
      <c r="N7" s="110">
        <v>16002792.021928187</v>
      </c>
      <c r="O7" s="115">
        <f>SUM('Pt 1 Summary of Data'!Q37:Q42)</f>
        <v>16684389</v>
      </c>
      <c r="P7" s="115">
        <f>SUM(M7:O7)</f>
        <v>45656314.647350758</v>
      </c>
      <c r="Q7" s="109">
        <v>0</v>
      </c>
      <c r="R7" s="110">
        <v>0</v>
      </c>
      <c r="S7" s="115"/>
      <c r="T7" s="115"/>
      <c r="U7" s="109">
        <v>0</v>
      </c>
      <c r="V7" s="110">
        <v>0</v>
      </c>
      <c r="W7" s="115"/>
      <c r="X7" s="115"/>
      <c r="Y7" s="109">
        <v>0</v>
      </c>
      <c r="Z7" s="110">
        <v>0</v>
      </c>
      <c r="AA7" s="115"/>
      <c r="AB7" s="115"/>
      <c r="AC7" s="292"/>
      <c r="AD7" s="288"/>
      <c r="AE7" s="288"/>
      <c r="AF7" s="288"/>
      <c r="AG7" s="292"/>
      <c r="AH7" s="288"/>
      <c r="AI7" s="288"/>
      <c r="AJ7" s="288"/>
      <c r="AK7" s="292"/>
      <c r="AL7" s="110"/>
      <c r="AM7" s="115"/>
      <c r="AN7" s="253"/>
    </row>
    <row r="8" spans="1:40" x14ac:dyDescent="0.4">
      <c r="B8" s="191" t="s">
        <v>484</v>
      </c>
      <c r="C8" s="293"/>
      <c r="D8" s="289"/>
      <c r="E8" s="269">
        <v>48015406.469999999</v>
      </c>
      <c r="F8" s="269">
        <v>48015406.469999999</v>
      </c>
      <c r="G8" s="270">
        <v>48015406.469999999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f>'Pt 2 Premium and Claims'!E15</f>
        <v>54508071</v>
      </c>
      <c r="F9" s="115">
        <f t="shared" ref="F9:F12" si="2">SUM(C9:E9)</f>
        <v>54508071</v>
      </c>
      <c r="G9" s="116">
        <f>'Pt 2 Premium and Claims'!I15</f>
        <v>54508071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f>'Pt 2 Premium and Claims'!E16</f>
        <v>-47134095.640000001</v>
      </c>
      <c r="F10" s="115">
        <f t="shared" si="2"/>
        <v>-47134095.640000001</v>
      </c>
      <c r="G10" s="116">
        <f>'Pt 2 Premium and Claims'!I16</f>
        <v>-47134095.640000001</v>
      </c>
      <c r="H10" s="292"/>
      <c r="I10" s="288"/>
      <c r="J10" s="115">
        <f>'Pt 2 Premium and Claims'!K16</f>
        <v>-5478914.4199999999</v>
      </c>
      <c r="K10" s="115">
        <f t="shared" ref="K10:K12" si="3">SUM(H10:J10)</f>
        <v>-5478914.4199999999</v>
      </c>
      <c r="L10" s="116">
        <f>'Pt 2 Premium and Claims'!O16</f>
        <v>-5478914.4199999999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f>'Pt 2 Premium and Claims'!E17</f>
        <v>5402756.3326910147</v>
      </c>
      <c r="F11" s="115">
        <f t="shared" si="2"/>
        <v>5402756.3326910147</v>
      </c>
      <c r="G11" s="314"/>
      <c r="H11" s="292"/>
      <c r="I11" s="288"/>
      <c r="J11" s="115">
        <f>'Pt 2 Premium and Claims'!K17</f>
        <v>-47526.911767973572</v>
      </c>
      <c r="K11" s="115">
        <f t="shared" si="3"/>
        <v>-47526.911767973572</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f>C6+C7-C8-C9-C10-C11</f>
        <v>21697906.023862828</v>
      </c>
      <c r="D12" s="115">
        <f t="shared" ref="D12" si="4">D6+D7-D8-D9-D10-D11</f>
        <v>25673522.018631142</v>
      </c>
      <c r="E12" s="115">
        <f>(E6+E7-E8-E9-E10-E11)*1.0004</f>
        <v>285791682.80204386</v>
      </c>
      <c r="F12" s="115">
        <f t="shared" si="2"/>
        <v>333163110.84453785</v>
      </c>
      <c r="G12" s="311"/>
      <c r="H12" s="114">
        <f>H6+H7-H8-H9-H10-H11</f>
        <v>296688090.83423138</v>
      </c>
      <c r="I12" s="115">
        <f>I6+I7-I8-I9-I10-I11</f>
        <v>282388593.11286777</v>
      </c>
      <c r="J12" s="115">
        <f>(J6+J7-J8-J9-J10-J11)*1.0004</f>
        <v>264826615.62270063</v>
      </c>
      <c r="K12" s="115">
        <f t="shared" si="3"/>
        <v>843903299.5697999</v>
      </c>
      <c r="L12" s="311"/>
      <c r="M12" s="114">
        <f>M6+M7-M8-M9-M10-M11</f>
        <v>1233032103.2149715</v>
      </c>
      <c r="N12" s="115">
        <f>N6+N7-N8-N9-N10-N11</f>
        <v>1150111337.0219281</v>
      </c>
      <c r="O12" s="115">
        <f>O6+O7-O8-O9-O10-O11</f>
        <v>1220173907</v>
      </c>
      <c r="P12" s="115">
        <f>SUM(M12:O12)</f>
        <v>3603317347.2368994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18056885.872882616</v>
      </c>
      <c r="D15" s="118">
        <v>17007747.733610522</v>
      </c>
      <c r="E15" s="106">
        <f>'Pt 1 Summary of Data'!E5+'Pt 1 Summary of Data'!E6+'Pt 1 Summary of Data'!E7-E9-E10-E11</f>
        <v>363034284.5032258</v>
      </c>
      <c r="F15" s="106">
        <f t="shared" ref="F15:F17" si="5">SUM(C15:E15)</f>
        <v>398098918.10971892</v>
      </c>
      <c r="G15" s="107">
        <f>SUM('Pt 1 Summary of Data'!I5:I7)-G9-G10</f>
        <v>357781151.22906107</v>
      </c>
      <c r="H15" s="117">
        <v>380952109.11461055</v>
      </c>
      <c r="I15" s="118">
        <v>367181496.03022081</v>
      </c>
      <c r="J15" s="106">
        <f>'Pt 1 Summary of Data'!K5+'Pt 1 Summary of Data'!K6+'Pt 1 Summary of Data'!K7-J9-J10-J11</f>
        <v>351924142.14099556</v>
      </c>
      <c r="K15" s="106">
        <f>SUM(H15:J15)</f>
        <v>1100057747.2858269</v>
      </c>
      <c r="L15" s="107">
        <f>'Pt 1 Summary of Data'!O5+'Pt 1 Summary of Data'!O6+'Pt 1 Summary of Data'!O7-L10</f>
        <v>158865536.03023505</v>
      </c>
      <c r="M15" s="117">
        <v>1442402329.2825067</v>
      </c>
      <c r="N15" s="118">
        <v>1358762542.3819509</v>
      </c>
      <c r="O15" s="106">
        <f>'Pt 1 Summary of Data'!Q5+'Pt 1 Summary of Data'!Q6+'Pt 1 Summary of Data'!Q7</f>
        <v>1451884107.5644433</v>
      </c>
      <c r="P15" s="106">
        <f t="shared" ref="P15:P17" si="6">SUM(M15:O15)</f>
        <v>4253048979.2289009</v>
      </c>
      <c r="Q15" s="117">
        <v>0</v>
      </c>
      <c r="R15" s="118">
        <v>0</v>
      </c>
      <c r="S15" s="106"/>
      <c r="T15" s="106"/>
      <c r="U15" s="117">
        <v>0</v>
      </c>
      <c r="V15" s="118">
        <v>0</v>
      </c>
      <c r="W15" s="106"/>
      <c r="X15" s="106"/>
      <c r="Y15" s="117">
        <v>0</v>
      </c>
      <c r="Z15" s="118">
        <v>0</v>
      </c>
      <c r="AA15" s="106"/>
      <c r="AB15" s="106"/>
      <c r="AC15" s="347"/>
      <c r="AD15" s="346"/>
      <c r="AE15" s="346"/>
      <c r="AF15" s="346"/>
      <c r="AG15" s="347"/>
      <c r="AH15" s="346"/>
      <c r="AI15" s="346"/>
      <c r="AJ15" s="346"/>
      <c r="AK15" s="347"/>
      <c r="AL15" s="118"/>
      <c r="AM15" s="106"/>
      <c r="AN15" s="254"/>
    </row>
    <row r="16" spans="1:40" x14ac:dyDescent="0.4">
      <c r="B16" s="191" t="s">
        <v>313</v>
      </c>
      <c r="C16" s="109">
        <v>88062.418160026544</v>
      </c>
      <c r="D16" s="110">
        <v>88242.338576399023</v>
      </c>
      <c r="E16" s="115">
        <f>+'Pt 1 Summary of Data'!E25+'Pt 1 Summary of Data'!E26+'Pt 1 Summary of Data'!E27+'Pt 1 Summary of Data'!E28+'Pt 1 Summary of Data'!E30+'Pt 1 Summary of Data'!E31+'Pt 1 Summary of Data'!E32+'Pt 1 Summary of Data'!E34+'Pt 1 Summary of Data'!E35</f>
        <v>18040848</v>
      </c>
      <c r="F16" s="115">
        <f t="shared" si="5"/>
        <v>18217152.756736424</v>
      </c>
      <c r="G16" s="116">
        <f>+'Pt 1 Summary of Data'!I25+'Pt 1 Summary of Data'!I26+'Pt 1 Summary of Data'!I27+'Pt 1 Summary of Data'!I28+'Pt 1 Summary of Data'!I30+'Pt 1 Summary of Data'!I31+'Pt 1 Summary of Data'!I32+'Pt 1 Summary of Data'!I34+'Pt 1 Summary of Data'!I35</f>
        <v>20343224.800265364</v>
      </c>
      <c r="H16" s="109">
        <v>1736152.8568760341</v>
      </c>
      <c r="I16" s="110">
        <v>1926151.6119430412</v>
      </c>
      <c r="J16" s="115">
        <f>+'Pt 1 Summary of Data'!K25+'Pt 1 Summary of Data'!K26+'Pt 1 Summary of Data'!K27+'Pt 1 Summary of Data'!K28+'Pt 1 Summary of Data'!K30+'Pt 1 Summary of Data'!K31+'Pt 1 Summary of Data'!K32+'Pt 1 Summary of Data'!K34+'Pt 1 Summary of Data'!K35</f>
        <v>9081209</v>
      </c>
      <c r="K16" s="115">
        <f t="shared" ref="K16:K17" si="7">SUM(H16:J16)</f>
        <v>12743513.468819074</v>
      </c>
      <c r="L16" s="116">
        <f>+'Pt 1 Summary of Data'!O25+'Pt 1 Summary of Data'!O26+'Pt 1 Summary of Data'!O27+'Pt 1 Summary of Data'!O28+'Pt 1 Summary of Data'!O30+'Pt 1 Summary of Data'!O31+'Pt 1 Summary of Data'!O32+'Pt 1 Summary of Data'!O34+'Pt 1 Summary of Data'!O35</f>
        <v>4041180.2602486173</v>
      </c>
      <c r="M16" s="109">
        <v>6073089.5022471454</v>
      </c>
      <c r="N16" s="110">
        <v>6751806.1011893637</v>
      </c>
      <c r="O16" s="115">
        <f>+'Pt 1 Summary of Data'!Q25+'Pt 1 Summary of Data'!Q26+'Pt 1 Summary of Data'!Q27+'Pt 1 Summary of Data'!Q28+'Pt 1 Summary of Data'!Q30+'Pt 1 Summary of Data'!Q31+'Pt 1 Summary of Data'!Q32+'Pt 1 Summary of Data'!Q34+'Pt 1 Summary of Data'!Q35</f>
        <v>34671499</v>
      </c>
      <c r="P16" s="115">
        <f t="shared" si="6"/>
        <v>47496394.603436507</v>
      </c>
      <c r="Q16" s="109">
        <v>0</v>
      </c>
      <c r="R16" s="110">
        <v>0</v>
      </c>
      <c r="S16" s="115"/>
      <c r="T16" s="115"/>
      <c r="U16" s="109">
        <v>0</v>
      </c>
      <c r="V16" s="110">
        <v>0</v>
      </c>
      <c r="W16" s="115"/>
      <c r="X16" s="115"/>
      <c r="Y16" s="109">
        <v>0</v>
      </c>
      <c r="Z16" s="110">
        <v>0</v>
      </c>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f>+C15-C16</f>
        <v>17968823.454722591</v>
      </c>
      <c r="D17" s="115">
        <f>+D15-D16</f>
        <v>16919505.395034123</v>
      </c>
      <c r="E17" s="115">
        <f>+E15-E16</f>
        <v>344993436.5032258</v>
      </c>
      <c r="F17" s="115">
        <f t="shared" si="5"/>
        <v>379881765.35298252</v>
      </c>
      <c r="G17" s="314"/>
      <c r="H17" s="114">
        <f>+H15-H16</f>
        <v>379215956.25773454</v>
      </c>
      <c r="I17" s="115">
        <f>+I15-I16</f>
        <v>365255344.41827774</v>
      </c>
      <c r="J17" s="115">
        <f>+J15-J16</f>
        <v>342842933.14099556</v>
      </c>
      <c r="K17" s="115">
        <f t="shared" si="7"/>
        <v>1087314233.8170078</v>
      </c>
      <c r="L17" s="314"/>
      <c r="M17" s="114">
        <f t="shared" ref="M17:N17" si="8">+M15-M16</f>
        <v>1436329239.7802596</v>
      </c>
      <c r="N17" s="115">
        <f t="shared" si="8"/>
        <v>1352010736.2807615</v>
      </c>
      <c r="O17" s="115">
        <f>+O15-O16</f>
        <v>1417212608.5644433</v>
      </c>
      <c r="P17" s="115">
        <f t="shared" si="6"/>
        <v>4205552584.6254644</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f>+G6+G7-G8-G9-G10</f>
        <v>288854364.16999996</v>
      </c>
      <c r="H19" s="347"/>
      <c r="I19" s="346"/>
      <c r="J19" s="346"/>
      <c r="K19" s="346"/>
      <c r="L19" s="107">
        <f>+L6+L7-L8-L9-L10</f>
        <v>119495747.29488988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f>+'Pt 1 Summary of Data'!I44+'Pt 1 Summary of Data'!I45+'Pt 1 Summary of Data'!I46+'Pt 1 Summary of Data'!I47+'Pt 1 Summary of Data'!I49+'Pt 1 Summary of Data'!I50+'Pt 1 Summary of Data'!I51</f>
        <v>62653752</v>
      </c>
      <c r="H20" s="292"/>
      <c r="I20" s="288"/>
      <c r="J20" s="288"/>
      <c r="K20" s="288"/>
      <c r="L20" s="116">
        <f>+'Pt 1 Summary of Data'!O44+'Pt 1 Summary of Data'!O45+'Pt 1 Summary of Data'!O46+'Pt 1 Summary of Data'!O47+'Pt 1 Summary of Data'!O49+'Pt 1 Summary of Data'!O50+'Pt 1 Summary of Data'!O51</f>
        <v>22909644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381">
        <f>G19/(G15-G16)</f>
        <v>0.8560222237821048</v>
      </c>
      <c r="H21" s="292"/>
      <c r="I21" s="288"/>
      <c r="J21" s="288"/>
      <c r="K21" s="288"/>
      <c r="L21" s="255">
        <f>L19/(L15-L16)</f>
        <v>0.77181491697868132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v>4.4499999999999998E-2</v>
      </c>
      <c r="H22" s="292"/>
      <c r="I22" s="288"/>
      <c r="J22" s="288"/>
      <c r="K22" s="288"/>
      <c r="L22" s="139">
        <f>IF(L21&gt;0.8,5.99%,0)</f>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f>MAX(G24:G25)</f>
        <v>25139125.518945277</v>
      </c>
      <c r="H23" s="292"/>
      <c r="I23" s="288"/>
      <c r="J23" s="288"/>
      <c r="K23" s="288"/>
      <c r="L23" s="116">
        <f>MAX(L24:L25)</f>
        <v>12418964.475096554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f>+G15-G19-G16-G20</f>
        <v>-14070189.741204254</v>
      </c>
      <c r="H24" s="292"/>
      <c r="I24" s="288"/>
      <c r="J24" s="288"/>
      <c r="K24" s="288"/>
      <c r="L24" s="116">
        <f>+L15-L19-L16-L20</f>
        <v>12418964.475096554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f>(0.03+G22)*(G15-G16)</f>
        <v>25139125.518945277</v>
      </c>
      <c r="H25" s="292"/>
      <c r="I25" s="288"/>
      <c r="J25" s="288"/>
      <c r="K25" s="288"/>
      <c r="L25" s="116">
        <f>(0.03+L22)*(L15-L16)</f>
        <v>4644730.6730995923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f>MIN(G27:G28)</f>
        <v>102846797.81210592</v>
      </c>
      <c r="H26" s="292"/>
      <c r="I26" s="288"/>
      <c r="J26" s="288"/>
      <c r="K26" s="288"/>
      <c r="L26" s="116">
        <f>MIN(L27:L28)</f>
        <v>35006051.414245903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f>G20+G23+G16</f>
        <v>108136102.31921065</v>
      </c>
      <c r="H27" s="292"/>
      <c r="I27" s="288"/>
      <c r="J27" s="288"/>
      <c r="K27" s="288"/>
      <c r="L27" s="116">
        <f>L20+L23+L16</f>
        <v>39369788.73534517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f>(0.2+G22)*(G15-G16)+G16</f>
        <v>102846797.81210592</v>
      </c>
      <c r="H28" s="292"/>
      <c r="I28" s="288"/>
      <c r="J28" s="288"/>
      <c r="K28" s="288"/>
      <c r="L28" s="116">
        <f>(0.2+L22)*(L15-L16)+L16</f>
        <v>35006051.414245903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f>0.2*(G15-G16)+G16</f>
        <v>87830810.086024493</v>
      </c>
      <c r="H29" s="292"/>
      <c r="I29" s="288"/>
      <c r="J29" s="288"/>
      <c r="K29" s="288"/>
      <c r="L29" s="116">
        <f>0.2*(L15-L16)+L16</f>
        <v>35006051.414245903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f>G15-G26</f>
        <v>254934353.41695514</v>
      </c>
      <c r="H30" s="292"/>
      <c r="I30" s="288"/>
      <c r="J30" s="288"/>
      <c r="K30" s="288"/>
      <c r="L30" s="116">
        <f>L15-L26</f>
        <v>123859484.61598915</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f>MIN(G27,G29)</f>
        <v>87830810.086024493</v>
      </c>
      <c r="H31" s="292"/>
      <c r="I31" s="288"/>
      <c r="J31" s="288"/>
      <c r="K31" s="288"/>
      <c r="L31" s="116">
        <f>MIN(L27,L29)</f>
        <v>35006051.414245903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f>G15-G31</f>
        <v>269950341.1430366</v>
      </c>
      <c r="H32" s="292"/>
      <c r="I32" s="288"/>
      <c r="J32" s="288"/>
      <c r="K32" s="288"/>
      <c r="L32" s="116">
        <f>L15-L31</f>
        <v>123859484.61598915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f>G19/G32</f>
        <v>1.0700277797276307</v>
      </c>
      <c r="H33" s="354"/>
      <c r="I33" s="355"/>
      <c r="J33" s="355"/>
      <c r="K33" s="355"/>
      <c r="L33" s="375">
        <f>L19/L32</f>
        <v>0.96476864622335146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v>5402756.3326910147</v>
      </c>
      <c r="H34" s="292"/>
      <c r="I34" s="288"/>
      <c r="J34" s="288"/>
      <c r="K34" s="288"/>
      <c r="L34" s="116">
        <v>-323976.39274735004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v>5402756.3326910147</v>
      </c>
      <c r="H35" s="292"/>
      <c r="I35" s="288"/>
      <c r="J35" s="288"/>
      <c r="K35" s="288"/>
      <c r="L35" s="116">
        <v>-47526.911767973572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3542.5</v>
      </c>
      <c r="D37" s="122">
        <v>3541.4166666666665</v>
      </c>
      <c r="E37" s="256">
        <f>'Pt 1 Summary of Data'!E60</f>
        <v>99282.25</v>
      </c>
      <c r="F37" s="256">
        <f>SUM(C37:E37)</f>
        <v>106366.16666666667</v>
      </c>
      <c r="G37" s="312"/>
      <c r="H37" s="121">
        <v>96684</v>
      </c>
      <c r="I37" s="122">
        <v>89662.25</v>
      </c>
      <c r="J37" s="256">
        <f>'Pt 1 Summary of Data'!K60</f>
        <v>78722.25</v>
      </c>
      <c r="K37" s="256">
        <f>SUM(H37:J37)</f>
        <v>265068.5</v>
      </c>
      <c r="L37" s="312"/>
      <c r="M37" s="121">
        <v>352046.33333333331</v>
      </c>
      <c r="N37" s="122">
        <v>334053.83333333331</v>
      </c>
      <c r="O37" s="256">
        <f>'Pt 1 Summary of Data'!Q60</f>
        <v>338725.75</v>
      </c>
      <c r="P37" s="256">
        <f>SUM(M37:O37)</f>
        <v>1024825.9166666666</v>
      </c>
      <c r="Q37" s="121">
        <v>0</v>
      </c>
      <c r="R37" s="122">
        <v>0</v>
      </c>
      <c r="S37" s="256"/>
      <c r="T37" s="256"/>
      <c r="U37" s="121">
        <v>0</v>
      </c>
      <c r="V37" s="122">
        <v>0</v>
      </c>
      <c r="W37" s="256"/>
      <c r="X37" s="256"/>
      <c r="Y37" s="121">
        <v>0</v>
      </c>
      <c r="Z37" s="122">
        <v>0</v>
      </c>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v>0</v>
      </c>
      <c r="U39" s="292"/>
      <c r="V39" s="288"/>
      <c r="W39" s="288"/>
      <c r="X39" s="110"/>
      <c r="Y39" s="292"/>
      <c r="Z39" s="288"/>
      <c r="AA39" s="288"/>
      <c r="AB39" s="110">
        <v>0</v>
      </c>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f>F38*F40</f>
        <v>0</v>
      </c>
      <c r="G41" s="311"/>
      <c r="H41" s="292"/>
      <c r="I41" s="288"/>
      <c r="J41" s="288"/>
      <c r="K41" s="260">
        <f>K38*K40</f>
        <v>0</v>
      </c>
      <c r="L41" s="311"/>
      <c r="M41" s="292"/>
      <c r="N41" s="288"/>
      <c r="O41" s="288"/>
      <c r="P41" s="260">
        <f>P38*P40</f>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f>C12/C17</f>
        <v>1.2075307033060172</v>
      </c>
      <c r="D44" s="260">
        <f t="shared" ref="D44" si="9">D12/D17</f>
        <v>1.5173919933951687</v>
      </c>
      <c r="E44" s="260">
        <f>E12/E17</f>
        <v>0.82839744923486858</v>
      </c>
      <c r="F44" s="260">
        <f>F12/F17</f>
        <v>0.87701790722954509</v>
      </c>
      <c r="G44" s="311"/>
      <c r="H44" s="262">
        <f>H12/H17</f>
        <v>0.78237238158983746</v>
      </c>
      <c r="I44" s="260">
        <f t="shared" ref="I44:K44" si="10">I12/I17</f>
        <v>0.77312651937403598</v>
      </c>
      <c r="J44" s="260">
        <f t="shared" si="10"/>
        <v>0.77244297613621682</v>
      </c>
      <c r="K44" s="260">
        <f t="shared" si="10"/>
        <v>0.7761356131679471</v>
      </c>
      <c r="L44" s="311"/>
      <c r="M44" s="262">
        <f>M12/M17</f>
        <v>0.85846062940528178</v>
      </c>
      <c r="N44" s="260">
        <f t="shared" ref="N44:P44" si="11">N12/N17</f>
        <v>0.85066731066482704</v>
      </c>
      <c r="O44" s="260">
        <f t="shared" si="11"/>
        <v>0.86096743680256105</v>
      </c>
      <c r="P44" s="260">
        <f t="shared" si="11"/>
        <v>0.85679997449319767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f>ROUND(F46+F44,3)</f>
        <v>0.877</v>
      </c>
      <c r="G47" s="311"/>
      <c r="H47" s="292"/>
      <c r="I47" s="288"/>
      <c r="J47" s="288"/>
      <c r="K47" s="260">
        <f>ROUND(K46+K44,3)</f>
        <v>0.77600000000000002</v>
      </c>
      <c r="L47" s="311"/>
      <c r="M47" s="292"/>
      <c r="N47" s="288"/>
      <c r="O47" s="288"/>
      <c r="P47" s="260">
        <f>ROUND(P46+P44,3)</f>
        <v>0.85699999999999998</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0">
        <v>0.85</v>
      </c>
      <c r="O49" s="140">
        <v>0.85</v>
      </c>
      <c r="P49" s="140">
        <v>0.85</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f>F47</f>
        <v>0.877</v>
      </c>
      <c r="G50" s="311"/>
      <c r="H50" s="293"/>
      <c r="I50" s="289"/>
      <c r="J50" s="289"/>
      <c r="K50" s="260">
        <f>K47</f>
        <v>0.77600000000000002</v>
      </c>
      <c r="L50" s="311"/>
      <c r="M50" s="293"/>
      <c r="N50" s="289"/>
      <c r="O50" s="289"/>
      <c r="P50" s="260">
        <f>P47</f>
        <v>0.85699999999999998</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f>F15-F16</f>
        <v>379881765.35298252</v>
      </c>
      <c r="G51" s="311"/>
      <c r="H51" s="292"/>
      <c r="I51" s="288"/>
      <c r="J51" s="288"/>
      <c r="K51" s="115">
        <f>J15-J16</f>
        <v>342842933.14099556</v>
      </c>
      <c r="L51" s="311"/>
      <c r="M51" s="292"/>
      <c r="N51" s="288"/>
      <c r="O51" s="288"/>
      <c r="P51" s="115">
        <f>P15-P16</f>
        <v>4205552584.6254644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f>MAX((F49-F50)*F51,0)</f>
        <v>0</v>
      </c>
      <c r="G52" s="311"/>
      <c r="H52" s="292"/>
      <c r="I52" s="288"/>
      <c r="J52" s="288"/>
      <c r="K52" s="115">
        <f>MAX((K49-K50)*K51,0)</f>
        <v>8228230.395383901</v>
      </c>
      <c r="L52" s="311"/>
      <c r="M52" s="292"/>
      <c r="N52" s="288"/>
      <c r="O52" s="288"/>
      <c r="P52" s="115">
        <f>MAX((P49-P50)*P51,0)</f>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v>0</v>
      </c>
      <c r="F58" s="288"/>
      <c r="G58" s="311"/>
      <c r="H58" s="292"/>
      <c r="I58" s="288"/>
      <c r="J58" s="110">
        <v>0</v>
      </c>
      <c r="K58" s="288"/>
      <c r="L58" s="311"/>
      <c r="M58" s="292"/>
      <c r="N58" s="288"/>
      <c r="O58" s="288"/>
      <c r="P58" s="288"/>
      <c r="Q58" s="292"/>
      <c r="R58" s="288"/>
      <c r="S58" s="110">
        <v>0</v>
      </c>
      <c r="T58" s="288"/>
      <c r="U58" s="292"/>
      <c r="V58" s="288"/>
      <c r="W58" s="110">
        <v>0</v>
      </c>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v>0</v>
      </c>
      <c r="F59" s="288"/>
      <c r="G59" s="311"/>
      <c r="H59" s="292"/>
      <c r="I59" s="288"/>
      <c r="J59" s="110">
        <v>0</v>
      </c>
      <c r="K59" s="288"/>
      <c r="L59" s="311"/>
      <c r="M59" s="292"/>
      <c r="N59" s="288"/>
      <c r="O59" s="288"/>
      <c r="P59" s="288"/>
      <c r="Q59" s="292"/>
      <c r="R59" s="288"/>
      <c r="S59" s="110">
        <v>0</v>
      </c>
      <c r="T59" s="288"/>
      <c r="U59" s="292"/>
      <c r="V59" s="288"/>
      <c r="W59" s="110">
        <v>0</v>
      </c>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v>0</v>
      </c>
      <c r="F60" s="288"/>
      <c r="G60" s="311"/>
      <c r="H60" s="292"/>
      <c r="I60" s="288"/>
      <c r="J60" s="110">
        <v>0</v>
      </c>
      <c r="K60" s="288"/>
      <c r="L60" s="311"/>
      <c r="M60" s="292"/>
      <c r="N60" s="288"/>
      <c r="O60" s="288"/>
      <c r="P60" s="288"/>
      <c r="Q60" s="292"/>
      <c r="R60" s="288"/>
      <c r="S60" s="110">
        <v>0</v>
      </c>
      <c r="T60" s="288"/>
      <c r="U60" s="292"/>
      <c r="V60" s="288"/>
      <c r="W60" s="110">
        <v>0</v>
      </c>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v>0</v>
      </c>
      <c r="F61" s="288"/>
      <c r="G61" s="311"/>
      <c r="H61" s="292"/>
      <c r="I61" s="288"/>
      <c r="J61" s="110">
        <v>0</v>
      </c>
      <c r="K61" s="288"/>
      <c r="L61" s="311"/>
      <c r="M61" s="292"/>
      <c r="N61" s="288"/>
      <c r="O61" s="288"/>
      <c r="P61" s="288"/>
      <c r="Q61" s="292"/>
      <c r="R61" s="288"/>
      <c r="S61" s="110">
        <v>0</v>
      </c>
      <c r="T61" s="288"/>
      <c r="U61" s="292"/>
      <c r="V61" s="288"/>
      <c r="W61" s="110">
        <v>0</v>
      </c>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v>0</v>
      </c>
      <c r="F62" s="288"/>
      <c r="G62" s="311"/>
      <c r="H62" s="292"/>
      <c r="I62" s="288"/>
      <c r="J62" s="110">
        <v>0</v>
      </c>
      <c r="K62" s="288"/>
      <c r="L62" s="311"/>
      <c r="M62" s="292"/>
      <c r="N62" s="288"/>
      <c r="O62" s="288"/>
      <c r="P62" s="288"/>
      <c r="Q62" s="292"/>
      <c r="R62" s="288"/>
      <c r="S62" s="110">
        <v>0</v>
      </c>
      <c r="T62" s="288"/>
      <c r="U62" s="292"/>
      <c r="V62" s="288"/>
      <c r="W62" s="110">
        <v>0</v>
      </c>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10">
        <v>0</v>
      </c>
      <c r="F63" s="358"/>
      <c r="G63" s="359"/>
      <c r="H63" s="357"/>
      <c r="I63" s="358"/>
      <c r="J63" s="110">
        <v>0</v>
      </c>
      <c r="K63" s="358"/>
      <c r="L63" s="359"/>
      <c r="M63" s="357"/>
      <c r="N63" s="358"/>
      <c r="O63" s="358"/>
      <c r="P63" s="358"/>
      <c r="Q63" s="357"/>
      <c r="R63" s="358"/>
      <c r="S63" s="187">
        <v>0</v>
      </c>
      <c r="T63" s="358"/>
      <c r="U63" s="357"/>
      <c r="V63" s="358"/>
      <c r="W63" s="187">
        <v>0</v>
      </c>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49:K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f>'Pt 1 Summary of Data'!E56</f>
        <v>79444</v>
      </c>
      <c r="D4" s="149">
        <f>'Pt 1 Summary of Data'!K56</f>
        <v>39920</v>
      </c>
      <c r="E4" s="149">
        <f>'Pt 1 Summary of Data'!Q56</f>
        <v>161765</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5001</v>
      </c>
      <c r="E6" s="123">
        <v>0</v>
      </c>
      <c r="F6" s="363"/>
      <c r="G6" s="123"/>
      <c r="H6" s="123"/>
      <c r="I6" s="363"/>
      <c r="J6" s="363"/>
      <c r="K6" s="372"/>
    </row>
    <row r="7" spans="2:11" x14ac:dyDescent="0.4">
      <c r="B7" s="155" t="s">
        <v>102</v>
      </c>
      <c r="C7" s="124">
        <v>0</v>
      </c>
      <c r="D7" s="126">
        <v>43</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f>'Pt 3 MLR and Rebate Calculation'!F52</f>
        <v>0</v>
      </c>
      <c r="D11" s="119">
        <f>'Pt 3 MLR and Rebate Calculation'!K52</f>
        <v>8228230.395383901</v>
      </c>
      <c r="E11" s="119">
        <f>'Pt 3 MLR and Rebate Calculation'!P52</f>
        <v>0</v>
      </c>
      <c r="F11" s="119"/>
      <c r="G11" s="119"/>
      <c r="H11" s="119"/>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2"/>
      <c r="D23" s="383"/>
      <c r="E23" s="383"/>
      <c r="F23" s="383"/>
      <c r="G23" s="383"/>
      <c r="H23" s="383"/>
      <c r="I23" s="383"/>
      <c r="J23" s="383"/>
      <c r="K23" s="384"/>
    </row>
    <row r="24" spans="2:12" s="5" customFormat="1" ht="100.2" customHeight="1" x14ac:dyDescent="0.4">
      <c r="B24" s="101" t="s">
        <v>213</v>
      </c>
      <c r="C24" s="385"/>
      <c r="D24" s="386"/>
      <c r="E24" s="386"/>
      <c r="F24" s="386"/>
      <c r="G24" s="386"/>
      <c r="H24" s="386"/>
      <c r="I24" s="386"/>
      <c r="J24" s="386"/>
      <c r="K24" s="387"/>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030A0"/>
  </sheetPr>
  <dimension ref="A1:L218"/>
  <sheetViews>
    <sheetView topLeftCell="B1" zoomScale="80" zoomScaleNormal="80" workbookViewId="0">
      <selection activeCell="C5" sqref="C5"/>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1.2500000000000001E-2</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504</v>
      </c>
      <c r="C5" s="150"/>
      <c r="D5" s="221" t="s">
        <v>508</v>
      </c>
      <c r="E5" s="7"/>
    </row>
    <row r="6" spans="1:5" ht="35.25" customHeight="1" x14ac:dyDescent="0.4">
      <c r="B6" s="219" t="s">
        <v>505</v>
      </c>
      <c r="C6" s="150"/>
      <c r="D6" s="222" t="s">
        <v>509</v>
      </c>
      <c r="E6" s="7"/>
    </row>
    <row r="7" spans="1:5" ht="35.25" customHeight="1" x14ac:dyDescent="0.4">
      <c r="B7" s="219" t="s">
        <v>506</v>
      </c>
      <c r="C7" s="150"/>
      <c r="D7" s="222" t="s">
        <v>510</v>
      </c>
      <c r="E7" s="7"/>
    </row>
    <row r="8" spans="1:5" ht="35.25" customHeight="1" x14ac:dyDescent="0.4">
      <c r="B8" s="219" t="s">
        <v>507</v>
      </c>
      <c r="C8" s="150"/>
      <c r="D8" s="222" t="s">
        <v>511</v>
      </c>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512</v>
      </c>
      <c r="C27" s="150"/>
      <c r="D27" s="223" t="s">
        <v>513</v>
      </c>
      <c r="E27" s="7"/>
    </row>
    <row r="28" spans="2:5" ht="35.25" customHeight="1" x14ac:dyDescent="0.4">
      <c r="B28" s="219"/>
      <c r="C28" s="150"/>
      <c r="D28" s="222" t="s">
        <v>562</v>
      </c>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514</v>
      </c>
      <c r="C34" s="150"/>
      <c r="D34" s="222" t="s">
        <v>563</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515</v>
      </c>
      <c r="C41" s="150"/>
      <c r="D41" s="222" t="s">
        <v>564</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516</v>
      </c>
      <c r="C48" s="150"/>
      <c r="D48" s="222" t="s">
        <v>517</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t="s">
        <v>518</v>
      </c>
      <c r="C56" s="152"/>
      <c r="D56" s="222" t="s">
        <v>523</v>
      </c>
      <c r="E56" s="7"/>
    </row>
    <row r="57" spans="2:5" ht="35.25" customHeight="1" x14ac:dyDescent="0.4">
      <c r="B57" s="219" t="s">
        <v>519</v>
      </c>
      <c r="C57" s="152"/>
      <c r="D57" s="222" t="s">
        <v>523</v>
      </c>
      <c r="E57" s="7"/>
    </row>
    <row r="58" spans="2:5" ht="35.25" customHeight="1" x14ac:dyDescent="0.4">
      <c r="B58" s="219" t="s">
        <v>520</v>
      </c>
      <c r="C58" s="152"/>
      <c r="D58" s="222" t="s">
        <v>523</v>
      </c>
      <c r="E58" s="7"/>
    </row>
    <row r="59" spans="2:5" ht="35.25" customHeight="1" x14ac:dyDescent="0.4">
      <c r="B59" s="219" t="s">
        <v>521</v>
      </c>
      <c r="C59" s="152"/>
      <c r="D59" s="222" t="s">
        <v>523</v>
      </c>
      <c r="E59" s="7"/>
    </row>
    <row r="60" spans="2:5" ht="35.25" customHeight="1" x14ac:dyDescent="0.4">
      <c r="B60" s="219" t="s">
        <v>522</v>
      </c>
      <c r="C60" s="152"/>
      <c r="D60" s="222" t="s">
        <v>524</v>
      </c>
      <c r="E60" s="7"/>
    </row>
    <row r="61" spans="2:5" ht="35.25" customHeight="1" x14ac:dyDescent="0.4">
      <c r="B61" s="219"/>
      <c r="C61" s="152"/>
      <c r="D61" s="222" t="s">
        <v>565</v>
      </c>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525</v>
      </c>
      <c r="C67" s="152"/>
      <c r="D67" s="222" t="s">
        <v>523</v>
      </c>
      <c r="E67" s="7"/>
    </row>
    <row r="68" spans="2:5" ht="35.25" customHeight="1" x14ac:dyDescent="0.4">
      <c r="B68" s="219" t="s">
        <v>526</v>
      </c>
      <c r="C68" s="152"/>
      <c r="D68" s="222" t="s">
        <v>523</v>
      </c>
      <c r="E68" s="7"/>
    </row>
    <row r="69" spans="2:5" ht="35.25" customHeight="1" x14ac:dyDescent="0.4">
      <c r="B69" s="219" t="s">
        <v>527</v>
      </c>
      <c r="C69" s="152"/>
      <c r="D69" s="222" t="s">
        <v>523</v>
      </c>
      <c r="E69" s="7"/>
    </row>
    <row r="70" spans="2:5" ht="35.25" customHeight="1" x14ac:dyDescent="0.4">
      <c r="B70" s="219"/>
      <c r="C70" s="152"/>
      <c r="D70" s="222" t="s">
        <v>565</v>
      </c>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528</v>
      </c>
      <c r="C78" s="152"/>
      <c r="D78" s="222" t="s">
        <v>523</v>
      </c>
      <c r="E78" s="7"/>
    </row>
    <row r="79" spans="2:5" ht="35.25" customHeight="1" x14ac:dyDescent="0.4">
      <c r="B79" s="219" t="s">
        <v>529</v>
      </c>
      <c r="C79" s="152"/>
      <c r="D79" s="222" t="s">
        <v>523</v>
      </c>
      <c r="E79" s="7"/>
    </row>
    <row r="80" spans="2:5" ht="35.25" customHeight="1" x14ac:dyDescent="0.4">
      <c r="B80" s="219"/>
      <c r="C80" s="152"/>
      <c r="D80" s="222" t="s">
        <v>565</v>
      </c>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530</v>
      </c>
      <c r="C89" s="152"/>
      <c r="D89" s="222" t="s">
        <v>533</v>
      </c>
      <c r="E89" s="7"/>
    </row>
    <row r="90" spans="2:5" ht="35.25" customHeight="1" x14ac:dyDescent="0.4">
      <c r="B90" s="219" t="s">
        <v>531</v>
      </c>
      <c r="C90" s="152"/>
      <c r="D90" s="222" t="s">
        <v>523</v>
      </c>
      <c r="E90" s="7"/>
    </row>
    <row r="91" spans="2:5" ht="35.25" customHeight="1" x14ac:dyDescent="0.4">
      <c r="B91" s="219" t="s">
        <v>532</v>
      </c>
      <c r="C91" s="152"/>
      <c r="D91" s="222" t="s">
        <v>523</v>
      </c>
      <c r="E91" s="7"/>
    </row>
    <row r="92" spans="2:5" ht="35.25" customHeight="1" x14ac:dyDescent="0.4">
      <c r="B92" s="219"/>
      <c r="C92" s="152"/>
      <c r="D92" s="222" t="s">
        <v>565</v>
      </c>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534</v>
      </c>
      <c r="C100" s="152"/>
      <c r="D100" s="222" t="s">
        <v>537</v>
      </c>
      <c r="E100" s="7"/>
    </row>
    <row r="101" spans="2:5" ht="35.25" customHeight="1" x14ac:dyDescent="0.4">
      <c r="B101" s="219" t="s">
        <v>535</v>
      </c>
      <c r="C101" s="152"/>
      <c r="D101" s="222" t="s">
        <v>537</v>
      </c>
      <c r="E101" s="7"/>
    </row>
    <row r="102" spans="2:5" ht="35.25" customHeight="1" x14ac:dyDescent="0.4">
      <c r="B102" s="219" t="s">
        <v>536</v>
      </c>
      <c r="C102" s="152"/>
      <c r="D102" s="222" t="s">
        <v>537</v>
      </c>
      <c r="E102" s="7"/>
    </row>
    <row r="103" spans="2:5" ht="35.25" customHeight="1" x14ac:dyDescent="0.4">
      <c r="B103" s="219"/>
      <c r="C103" s="152"/>
      <c r="D103" s="222" t="s">
        <v>565</v>
      </c>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538</v>
      </c>
      <c r="C111" s="152"/>
      <c r="D111" s="222" t="s">
        <v>539</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540</v>
      </c>
      <c r="C123" s="150"/>
      <c r="D123" s="222" t="s">
        <v>560</v>
      </c>
      <c r="E123" s="7"/>
    </row>
    <row r="124" spans="2:5" s="5" customFormat="1" ht="35.25" customHeight="1" x14ac:dyDescent="0.4">
      <c r="B124" s="219"/>
      <c r="C124" s="150"/>
      <c r="D124" s="222" t="s">
        <v>561</v>
      </c>
      <c r="E124" s="27"/>
    </row>
    <row r="125" spans="2:5" s="5" customFormat="1" ht="35.25" customHeight="1" x14ac:dyDescent="0.4">
      <c r="B125" s="219"/>
      <c r="C125" s="150"/>
      <c r="D125" s="222" t="s">
        <v>566</v>
      </c>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541</v>
      </c>
      <c r="C134" s="150"/>
      <c r="D134" s="222" t="s">
        <v>556</v>
      </c>
      <c r="E134" s="27"/>
    </row>
    <row r="135" spans="2:5" s="5" customFormat="1" ht="35.25" customHeight="1" x14ac:dyDescent="0.4">
      <c r="B135" s="219"/>
      <c r="C135" s="150"/>
      <c r="D135" s="222" t="s">
        <v>557</v>
      </c>
      <c r="E135" s="27"/>
    </row>
    <row r="136" spans="2:5" s="5" customFormat="1" ht="35.25" customHeight="1" x14ac:dyDescent="0.4">
      <c r="B136" s="219"/>
      <c r="C136" s="150"/>
      <c r="D136" s="222" t="s">
        <v>558</v>
      </c>
      <c r="E136" s="27"/>
    </row>
    <row r="137" spans="2:5" s="5" customFormat="1" ht="35.25" customHeight="1" x14ac:dyDescent="0.4">
      <c r="B137" s="219"/>
      <c r="C137" s="150"/>
      <c r="D137" s="222" t="s">
        <v>559</v>
      </c>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542</v>
      </c>
      <c r="C145" s="150"/>
      <c r="D145" s="222" t="s">
        <v>553</v>
      </c>
      <c r="E145" s="27"/>
    </row>
    <row r="146" spans="2:5" s="5" customFormat="1" ht="35.25" customHeight="1" x14ac:dyDescent="0.4">
      <c r="B146" s="219"/>
      <c r="C146" s="150"/>
      <c r="D146" s="222" t="s">
        <v>554</v>
      </c>
      <c r="E146" s="27"/>
    </row>
    <row r="147" spans="2:5" s="5" customFormat="1" ht="35.25" customHeight="1" x14ac:dyDescent="0.4">
      <c r="B147" s="219"/>
      <c r="C147" s="150"/>
      <c r="D147" s="222" t="s">
        <v>555</v>
      </c>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543</v>
      </c>
      <c r="C156" s="150"/>
      <c r="D156" s="222" t="s">
        <v>552</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544</v>
      </c>
      <c r="C167" s="150"/>
      <c r="D167" s="222" t="s">
        <v>551</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545</v>
      </c>
      <c r="C178" s="150"/>
      <c r="D178" s="222" t="s">
        <v>549</v>
      </c>
      <c r="E178" s="27"/>
    </row>
    <row r="179" spans="2:5" s="5" customFormat="1" ht="35.25" customHeight="1" x14ac:dyDescent="0.4">
      <c r="B179" s="219"/>
      <c r="C179" s="150"/>
      <c r="D179" s="222" t="s">
        <v>550</v>
      </c>
      <c r="E179" s="27"/>
    </row>
    <row r="180" spans="2:5" s="5" customFormat="1" ht="35.25" customHeight="1" x14ac:dyDescent="0.4">
      <c r="B180" s="219"/>
      <c r="C180" s="150"/>
      <c r="D180" s="222" t="s">
        <v>551</v>
      </c>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546</v>
      </c>
      <c r="C189" s="150"/>
      <c r="D189" s="222" t="s">
        <v>564</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547</v>
      </c>
      <c r="C200" s="150"/>
      <c r="D200" s="222" t="s">
        <v>548</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