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Z:\LTC Valuation\UTAIC\Annual Statement\2015\Medical Loss Ratio Report\MLR State Files V\"/>
    </mc:Choice>
  </mc:AlternateContent>
  <workbookProtection lockStructure="1"/>
  <bookViews>
    <workbookView xWindow="65310" yWindow="5100" windowWidth="18120" windowHeight="1950" tabRatio="836" firstSheet="1" activeTab="2"/>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calcMode="manual"/>
</workbook>
</file>

<file path=xl/calcChain.xml><?xml version="1.0" encoding="utf-8"?>
<calcChain xmlns="http://schemas.openxmlformats.org/spreadsheetml/2006/main">
  <c r="G16" i="10" l="1"/>
  <c r="G10" i="10"/>
  <c r="G9" i="10"/>
  <c r="G15" i="10" s="1"/>
  <c r="G7" i="10"/>
  <c r="G19" i="10" s="1"/>
  <c r="G6" i="10"/>
  <c r="G20" i="10" s="1"/>
  <c r="F50" i="10"/>
  <c r="F41" i="10"/>
  <c r="E50" i="10"/>
  <c r="E16" i="10"/>
  <c r="F16" i="10" s="1"/>
  <c r="E11" i="10"/>
  <c r="E10" i="10"/>
  <c r="E9" i="10"/>
  <c r="E8" i="10"/>
  <c r="F8" i="10" s="1"/>
  <c r="F11" i="10"/>
  <c r="F10" i="10"/>
  <c r="F9" i="10"/>
  <c r="AT55" i="18"/>
  <c r="E55" i="18"/>
  <c r="D55" i="18"/>
  <c r="AT60" i="4"/>
  <c r="E22" i="4"/>
  <c r="D60" i="4"/>
  <c r="E60" i="4"/>
  <c r="C4" i="16"/>
  <c r="AT54" i="18" l="1"/>
  <c r="AT12" i="4" s="1"/>
  <c r="E5" i="4"/>
  <c r="E15" i="10" s="1"/>
  <c r="F15" i="10" s="1"/>
  <c r="D54" i="18"/>
  <c r="G27" i="10"/>
  <c r="G23" i="10"/>
  <c r="G22" i="10"/>
  <c r="G32" i="10"/>
  <c r="G24" i="10"/>
  <c r="AT22" i="4"/>
  <c r="D22" i="4"/>
  <c r="E7" i="10" l="1"/>
  <c r="F7" i="10" s="1"/>
  <c r="G30" i="10"/>
  <c r="G31" i="10" s="1"/>
  <c r="G29" i="10" s="1"/>
  <c r="G33" i="10" s="1"/>
  <c r="G34" i="10" s="1"/>
  <c r="G21" i="10"/>
  <c r="G26" i="10" s="1"/>
  <c r="G25" i="10" s="1"/>
  <c r="G28" i="10" s="1"/>
  <c r="AT5" i="4"/>
  <c r="D5" i="4"/>
  <c r="D12" i="4"/>
  <c r="E54" i="18" l="1"/>
  <c r="E12" i="4" s="1"/>
  <c r="E6" i="10" s="1"/>
  <c r="F6" i="10" l="1"/>
  <c r="C12" i="10" s="1"/>
  <c r="E12" i="10" l="1"/>
  <c r="D12" i="10"/>
  <c r="E17" i="10"/>
  <c r="E38" i="10"/>
  <c r="D17" i="10"/>
  <c r="D45" i="10" s="1"/>
  <c r="C17" i="10"/>
  <c r="F17" i="10"/>
  <c r="E45" i="10" l="1"/>
  <c r="F38" i="10"/>
  <c r="F52" i="10" s="1"/>
  <c r="F12" i="10"/>
  <c r="C45" i="10"/>
  <c r="F53" i="10" l="1"/>
  <c r="F42" i="10"/>
  <c r="F39" i="10"/>
  <c r="F45" i="10"/>
  <c r="F48" i="10" s="1"/>
  <c r="F51" i="10" s="1"/>
  <c r="F47" i="10" l="1"/>
</calcChain>
</file>

<file path=xl/sharedStrings.xml><?xml version="1.0" encoding="utf-8"?>
<sst xmlns="http://schemas.openxmlformats.org/spreadsheetml/2006/main" count="567" uniqueCount="505">
  <si>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</si>
  <si>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</si>
  <si>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</si>
  <si>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</si>
  <si>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</si>
  <si>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</si>
  <si>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</si>
  <si>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</si>
  <si>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</si>
  <si>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</si>
  <si>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</si>
  <si>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</si>
  <si>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</si>
  <si>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</si>
  <si>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</si>
  <si>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</si>
  <si>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</si>
  <si>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</si>
  <si>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</si>
  <si>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</si>
  <si>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</si>
  <si>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</si>
  <si>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</si>
  <si>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</si>
  <si>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</si>
  <si>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</si>
  <si>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</si>
  <si>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</si>
  <si>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</si>
  <si>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</si>
  <si>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</si>
  <si>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</si>
  <si>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</si>
  <si>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</si>
  <si>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</si>
  <si>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</si>
  <si>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</si>
  <si>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</si>
  <si>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</si>
  <si>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</si>
  <si>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</si>
  <si>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</si>
  <si>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</si>
  <si>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</si>
  <si>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</si>
  <si>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</si>
  <si>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</si>
  <si>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</si>
  <si>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</si>
  <si>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</si>
  <si>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</si>
  <si>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</si>
  <si>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</si>
  <si>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</si>
  <si>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</si>
  <si>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</si>
  <si>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</si>
  <si>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</si>
  <si>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</si>
  <si>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</si>
  <si>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</si>
  <si>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</si>
  <si>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</si>
  <si>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</si>
  <si>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</si>
  <si>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</si>
  <si>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</si>
  <si>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</si>
  <si>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</si>
  <si>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</si>
  <si>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</si>
  <si>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</si>
  <si>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</si>
  <si>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</si>
  <si>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</si>
  <si>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</si>
  <si>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</si>
  <si>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</si>
  <si>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</si>
  <si>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</si>
  <si>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</si>
  <si>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</si>
  <si>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</si>
  <si>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</si>
  <si>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</si>
  <si>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</si>
  <si>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</si>
  <si>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</si>
  <si>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</si>
  <si>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</si>
  <si>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</si>
  <si>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</si>
  <si>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</si>
  <si>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</si>
  <si>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</si>
  <si>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</si>
  <si>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</si>
  <si>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</si>
  <si>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</si>
  <si>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</si>
  <si>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</si>
  <si>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</si>
  <si>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</si>
  <si>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</si>
  <si>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</si>
  <si>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</si>
  <si>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</si>
  <si>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</si>
  <si>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</si>
  <si>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</si>
  <si>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</si>
  <si>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</si>
  <si>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</si>
  <si>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</si>
  <si>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</si>
  <si>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</si>
  <si>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</si>
  <si>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</si>
  <si>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</si>
  <si>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</si>
  <si>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</si>
  <si>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</si>
  <si>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</si>
  <si>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</si>
  <si>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</si>
  <si>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</si>
  <si>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</si>
  <si>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</si>
  <si>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</si>
  <si>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</si>
  <si>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</si>
  <si>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</si>
  <si>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</si>
  <si>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</si>
  <si>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</si>
  <si>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</si>
  <si>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</si>
  <si>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</si>
  <si>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</si>
  <si>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</si>
  <si>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</si>
  <si>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</si>
  <si>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</si>
  <si>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</si>
  <si>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</si>
  <si>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</si>
  <si>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</si>
  <si>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</si>
  <si>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</si>
  <si>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</si>
  <si>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</si>
  <si>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</si>
  <si>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</si>
  <si>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</si>
  <si>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</si>
  <si>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</si>
  <si>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</si>
  <si>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</si>
  <si>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</si>
  <si>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</si>
  <si>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</si>
  <si>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</si>
  <si>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</si>
  <si>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</si>
  <si>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</si>
  <si>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</si>
  <si>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</si>
  <si>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</si>
  <si>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</si>
  <si>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</si>
  <si>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</si>
  <si>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</si>
  <si>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</si>
  <si>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</si>
  <si>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</si>
  <si>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</si>
  <si>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</si>
  <si>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</si>
  <si>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</si>
  <si>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</si>
  <si>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</si>
  <si>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</si>
  <si>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</si>
  <si>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</si>
  <si>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</si>
  <si>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</si>
  <si>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</si>
  <si>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</si>
  <si>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</si>
  <si>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</si>
  <si>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</si>
  <si>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</si>
  <si>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</si>
  <si>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</si>
  <si>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</si>
  <si>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</si>
  <si>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</si>
  <si>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</si>
  <si>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</si>
  <si>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</si>
  <si>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</si>
  <si>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</si>
  <si>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</si>
  <si>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</si>
  <si>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</si>
  <si>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</si>
  <si>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</si>
  <si>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</si>
  <si>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</si>
  <si>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</si>
  <si>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</si>
  <si>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</si>
  <si>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</si>
  <si>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</si>
  <si>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</si>
  <si>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</si>
  <si>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</si>
  <si>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</si>
  <si>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</si>
  <si>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</si>
  <si>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</si>
  <si>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</si>
  <si>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</si>
  <si>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</si>
  <si>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</si>
  <si>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</si>
  <si>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</si>
  <si>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</si>
  <si>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</si>
  <si>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</si>
  <si>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</si>
  <si>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</si>
  <si>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</si>
  <si>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</si>
  <si>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</si>
  <si>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</si>
  <si>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</si>
  <si>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</si>
  <si>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</si>
  <si>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</si>
  <si>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</si>
  <si>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</si>
  <si>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</si>
  <si>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</si>
  <si>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</si>
  <si>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</si>
  <si>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</si>
  <si>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</si>
  <si>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</si>
  <si>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</si>
  <si>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</si>
  <si>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</si>
  <si>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</si>
  <si>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</si>
  <si>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</si>
  <si>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</si>
  <si>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</si>
  <si>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</si>
  <si>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</si>
  <si>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</si>
  <si>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</si>
  <si>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</si>
  <si>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</si>
  <si>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</si>
  <si>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</si>
  <si>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</si>
  <si>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</si>
  <si>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</si>
  <si>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</si>
  <si>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</si>
  <si>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</si>
  <si>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</si>
  <si>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</si>
  <si>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</si>
  <si>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</si>
  <si>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</si>
  <si>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</si>
  <si>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</si>
  <si>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</si>
  <si>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</si>
  <si>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</si>
  <si>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</si>
  <si>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</si>
  <si>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</si>
  <si>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</si>
  <si>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</si>
  <si>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</si>
  <si>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</si>
  <si>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</si>
  <si>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</si>
  <si>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</si>
  <si>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</si>
  <si>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</si>
  <si>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</si>
  <si>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</si>
  <si>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</si>
  <si>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</si>
  <si>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</si>
  <si>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</si>
  <si>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</si>
  <si>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</si>
  <si>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</si>
  <si>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</si>
  <si>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</si>
  <si>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</si>
  <si>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</si>
  <si>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</si>
  <si>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</si>
  <si>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</si>
  <si>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</si>
  <si>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</si>
  <si>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</si>
  <si>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</si>
  <si>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</si>
  <si>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</si>
  <si>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</si>
  <si>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</si>
  <si>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</si>
  <si>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</si>
  <si>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</si>
  <si>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</si>
  <si>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</si>
  <si>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</si>
  <si>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</si>
  <si>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</si>
  <si>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</si>
  <si>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</si>
  <si>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</si>
  <si>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</si>
  <si>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</si>
  <si>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</si>
  <si>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</si>
  <si>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</si>
  <si>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</si>
  <si>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</si>
  <si>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</si>
  <si>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</si>
  <si>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</si>
  <si>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</si>
  <si>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</si>
  <si>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</si>
  <si>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</si>
  <si>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</si>
  <si>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</si>
  <si>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</si>
  <si>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</si>
  <si>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</si>
  <si>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</si>
  <si>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</si>
  <si>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</si>
  <si>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</si>
  <si>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</si>
  <si>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</si>
  <si>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</si>
  <si>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</si>
  <si>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</si>
  <si>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</si>
  <si>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</si>
  <si>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</si>
  <si>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</si>
  <si>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</si>
  <si>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</si>
  <si>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</si>
  <si>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</si>
  <si>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</si>
  <si>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</si>
  <si>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</si>
  <si>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</si>
  <si>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</si>
  <si>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</si>
  <si>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</si>
  <si>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</si>
  <si>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</si>
  <si>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</si>
  <si>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</si>
  <si>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</si>
  <si>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</si>
  <si>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</si>
  <si>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</si>
  <si>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</si>
  <si>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</si>
  <si>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</si>
  <si>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</si>
  <si>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</si>
  <si>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</si>
  <si>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</si>
  <si>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</si>
  <si>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</si>
  <si>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</si>
  <si>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</si>
  <si>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</si>
  <si>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</si>
  <si>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</si>
  <si>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</si>
  <si>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</si>
  <si>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</si>
  <si>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</si>
  <si>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</si>
  <si>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</si>
  <si>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</si>
  <si>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</si>
  <si>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</si>
  <si>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</si>
  <si>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</si>
  <si>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</si>
  <si>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</si>
  <si>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</si>
  <si>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</si>
  <si>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</si>
  <si>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</si>
  <si>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</si>
  <si>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</si>
  <si>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</si>
  <si>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</si>
  <si>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</si>
  <si>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</si>
  <si>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</si>
  <si>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</si>
  <si>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</si>
  <si>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</si>
  <si>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</si>
  <si>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</si>
  <si>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</si>
  <si>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</si>
  <si>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</si>
  <si>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</si>
  <si>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</si>
  <si>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</si>
  <si>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</si>
  <si>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</si>
  <si>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</si>
  <si>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</si>
  <si>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</si>
  <si>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</si>
  <si>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</si>
  <si>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</si>
  <si>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</si>
  <si>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</si>
  <si>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</si>
  <si>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</si>
  <si>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</si>
  <si>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</si>
  <si>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</si>
  <si>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</si>
  <si>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</si>
  <si>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</si>
  <si>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</si>
  <si>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</si>
  <si>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</si>
  <si>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</si>
  <si>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</si>
  <si>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</si>
  <si>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</si>
  <si>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</si>
  <si>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</si>
  <si>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</si>
  <si>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</si>
  <si>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</si>
  <si>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</si>
  <si>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</si>
  <si>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</si>
  <si>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</si>
  <si>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</si>
  <si>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</si>
  <si>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</si>
  <si>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</si>
  <si>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</si>
  <si>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</si>
  <si>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</si>
  <si>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</si>
  <si>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</si>
  <si>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</si>
  <si>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</si>
  <si>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</si>
  <si>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</si>
  <si>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</si>
  <si>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</si>
  <si>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</si>
  <si>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</si>
  <si>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</si>
  <si>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</si>
  <si>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</si>
  <si>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</si>
  <si>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</si>
  <si>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</si>
  <si>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</si>
  <si>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</si>
  <si>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</si>
  <si>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</si>
  <si>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</si>
  <si>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</si>
  <si>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</si>
  <si>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</si>
  <si>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</si>
  <si>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</si>
  <si>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</si>
  <si>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United Teachers Associates</t>
  </si>
  <si>
    <t>HC2 Holdings Grp</t>
  </si>
  <si>
    <t>4852</t>
  </si>
  <si>
    <t>2015</t>
  </si>
  <si>
    <t>11001 Lakeline Blvd., Suite 120 Austin, TX 78717</t>
  </si>
  <si>
    <t>580869673</t>
  </si>
  <si>
    <t>63479</t>
  </si>
  <si>
    <t>14876</t>
  </si>
  <si>
    <t>567</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</si>
</sst>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504</v>
      </c>
      <c r="B4" s="147" t="s">
        <v>45</v>
      </c>
      <c r="C4" s="480" t="s">
        <v>496</v>
      </c>
    </row>
    <row r="5" spans="1:6" x14ac:dyDescent="0.2">
      <c r="B5" s="147" t="s">
        <v>215</v>
      </c>
      <c r="C5" s="480" t="s">
        <v>497</v>
      </c>
    </row>
    <row r="6" spans="1:6" x14ac:dyDescent="0.2">
      <c r="B6" s="147" t="s">
        <v>216</v>
      </c>
      <c r="C6" s="480" t="s">
        <v>501</v>
      </c>
    </row>
    <row r="7" spans="1:6" x14ac:dyDescent="0.2">
      <c r="B7" s="147" t="s">
        <v>128</v>
      </c>
      <c r="C7" s="480"/>
    </row>
    <row r="8" spans="1:6" x14ac:dyDescent="0.2">
      <c r="B8" s="147" t="s">
        <v>36</v>
      </c>
      <c r="C8" s="480" t="s">
        <v>498</v>
      </c>
    </row>
    <row r="9" spans="1:6" x14ac:dyDescent="0.2">
      <c r="B9" s="147" t="s">
        <v>41</v>
      </c>
      <c r="C9" s="480" t="s">
        <v>502</v>
      </c>
    </row>
    <row r="10" spans="1:6" x14ac:dyDescent="0.2">
      <c r="B10" s="147" t="s">
        <v>58</v>
      </c>
      <c r="C10" s="480" t="s">
        <v>496</v>
      </c>
    </row>
    <row r="11" spans="1:6" x14ac:dyDescent="0.2">
      <c r="B11" s="147" t="s">
        <v>349</v>
      </c>
      <c r="C11" s="480" t="s">
        <v>503</v>
      </c>
    </row>
    <row r="12" spans="1:6" x14ac:dyDescent="0.2">
      <c r="B12" s="147" t="s">
        <v>35</v>
      </c>
      <c r="C12" s="480" t="s">
        <v>170</v>
      </c>
    </row>
    <row r="13" spans="1:6" x14ac:dyDescent="0.2">
      <c r="B13" s="147" t="s">
        <v>50</v>
      </c>
      <c r="C13" s="480" t="s">
        <v>186</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T59" sqref="AT59"/>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f>SUM('Pt 2 Premium and Claims'!D$5,'Pt 2 Premium and Claims'!D$6,-'Pt 2 Premium and Claims'!D$7,-'Pt 2 Premium and Claims'!D$13,'Pt 2 Premium and Claims'!D$14:'Pt 2 Premium and Claims'!D$17)</f>
        <v>0</v>
      </c>
      <c r="E5" s="213">
        <f>SUM('Pt 2 Premium and Claims'!E$5,'Pt 2 Premium and Claims'!E$6,-'Pt 2 Premium and Claims'!E$7,-'Pt 2 Premium and Claims'!E$13,'Pt 2 Premium and Claims'!E$14:'Pt 2 Premium and Claims'!E$17)</f>
        <v>0</v>
      </c>
      <c r="F5" s="213"/>
      <c r="G5" s="213"/>
      <c r="H5" s="213"/>
      <c r="I5" s="212"/>
      <c r="J5" s="212"/>
      <c r="K5" s="213"/>
      <c r="L5" s="213"/>
      <c r="M5" s="213"/>
      <c r="N5" s="213"/>
      <c r="O5" s="212"/>
      <c r="P5" s="212"/>
      <c r="Q5" s="213"/>
      <c r="R5" s="213"/>
      <c r="S5" s="213"/>
      <c r="T5" s="213"/>
      <c r="U5" s="212"/>
      <c r="V5" s="213"/>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f>SUM('Pt 2 Premium and Claims'!AT$5,'Pt 2 Premium and Claims'!AT$6,-'Pt 2 Premium and Claims'!AT$7,-'Pt 2 Premium and Claims'!AT$13,'Pt 2 Premium and Claims'!AT$14)</f>
        <v>2337373.6993472371</v>
      </c>
      <c r="AU5" s="214"/>
      <c r="AV5" s="215"/>
      <c r="AW5" s="296"/>
    </row>
    <row r="6" spans="1:49" x14ac:dyDescent="0.2">
      <c r="B6" s="239" t="s">
        <v>223</v>
      </c>
      <c r="C6" s="203" t="s">
        <v>12</v>
      </c>
      <c r="D6" s="216">
        <v>0</v>
      </c>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0</v>
      </c>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0</v>
      </c>
      <c r="AU7" s="220"/>
      <c r="AV7" s="290"/>
      <c r="AW7" s="297"/>
    </row>
    <row r="8" spans="1:49" ht="25.5" x14ac:dyDescent="0.2">
      <c r="B8" s="239" t="s">
        <v>225</v>
      </c>
      <c r="C8" s="203" t="s">
        <v>59</v>
      </c>
      <c r="D8" s="216">
        <v>0</v>
      </c>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-1774611.5820774399</v>
      </c>
      <c r="AU8" s="220"/>
      <c r="AV8" s="290"/>
      <c r="AW8" s="297"/>
    </row>
    <row r="9" spans="1:49" x14ac:dyDescent="0.2">
      <c r="B9" s="239" t="s">
        <v>226</v>
      </c>
      <c r="C9" s="203" t="s">
        <v>60</v>
      </c>
      <c r="D9" s="216">
        <v>0</v>
      </c>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f>'Pt 2 Premium and Claims'!D$54</f>
        <v>0</v>
      </c>
      <c r="E12" s="213">
        <f>'Pt 2 Premium and Claims'!E$54</f>
        <v>0</v>
      </c>
      <c r="F12" s="213"/>
      <c r="G12" s="213"/>
      <c r="H12" s="213"/>
      <c r="I12" s="212"/>
      <c r="J12" s="212"/>
      <c r="K12" s="213"/>
      <c r="L12" s="213"/>
      <c r="M12" s="213"/>
      <c r="N12" s="213"/>
      <c r="O12" s="212"/>
      <c r="P12" s="212"/>
      <c r="Q12" s="213"/>
      <c r="R12" s="213"/>
      <c r="S12" s="213"/>
      <c r="T12" s="213"/>
      <c r="U12" s="212"/>
      <c r="V12" s="213"/>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f>'Pt 2 Premium and Claims'!AT$54</f>
        <v>1724533.3960382165</v>
      </c>
      <c r="AU12" s="214"/>
      <c r="AV12" s="291"/>
      <c r="AW12" s="296"/>
    </row>
    <row r="13" spans="1:49" ht="25.5" x14ac:dyDescent="0.2">
      <c r="B13" s="239" t="s">
        <v>230</v>
      </c>
      <c r="C13" s="203" t="s">
        <v>37</v>
      </c>
      <c r="D13" s="216">
        <v>0</v>
      </c>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x14ac:dyDescent="0.2">
      <c r="B14" s="239" t="s">
        <v>231</v>
      </c>
      <c r="C14" s="203" t="s">
        <v>6</v>
      </c>
      <c r="D14" s="216">
        <v>0</v>
      </c>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v>0</v>
      </c>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v>0</v>
      </c>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-986649</v>
      </c>
      <c r="AU16" s="220"/>
      <c r="AV16" s="290"/>
      <c r="AW16" s="297"/>
    </row>
    <row r="17" spans="1:49" x14ac:dyDescent="0.2">
      <c r="B17" s="239" t="s">
        <v>234</v>
      </c>
      <c r="C17" s="203" t="s">
        <v>62</v>
      </c>
      <c r="D17" s="216">
        <v>0</v>
      </c>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0</v>
      </c>
      <c r="AU17" s="220"/>
      <c r="AV17" s="290"/>
      <c r="AW17" s="297"/>
    </row>
    <row r="18" spans="1:49" x14ac:dyDescent="0.2">
      <c r="B18" s="239" t="s">
        <v>235</v>
      </c>
      <c r="C18" s="203" t="s">
        <v>63</v>
      </c>
      <c r="D18" s="216">
        <v>0</v>
      </c>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v>0</v>
      </c>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v>0</v>
      </c>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v>0</v>
      </c>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f>'Pt 2 Premium and Claims'!D$55</f>
        <v>0</v>
      </c>
      <c r="E22" s="222">
        <f>'Pt 2 Premium and Claims'!E$55</f>
        <v>0</v>
      </c>
      <c r="F22" s="222"/>
      <c r="G22" s="222"/>
      <c r="H22" s="222"/>
      <c r="I22" s="221"/>
      <c r="J22" s="221"/>
      <c r="K22" s="222"/>
      <c r="L22" s="222"/>
      <c r="M22" s="222"/>
      <c r="N22" s="222"/>
      <c r="O22" s="221"/>
      <c r="P22" s="221"/>
      <c r="Q22" s="222"/>
      <c r="R22" s="222"/>
      <c r="S22" s="222"/>
      <c r="T22" s="222"/>
      <c r="U22" s="221"/>
      <c r="V22" s="222"/>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f>'Pt 2 Premium and Claims'!AT$55</f>
        <v>0</v>
      </c>
      <c r="AU22" s="223"/>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v>0</v>
      </c>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v>0</v>
      </c>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x14ac:dyDescent="0.2">
      <c r="B38" s="239" t="s">
        <v>254</v>
      </c>
      <c r="C38" s="203" t="s">
        <v>16</v>
      </c>
      <c r="D38" s="216">
        <v>0</v>
      </c>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v>0</v>
      </c>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v>0</v>
      </c>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v>0</v>
      </c>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v>0</v>
      </c>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0</v>
      </c>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0</v>
      </c>
      <c r="AU44" s="226"/>
      <c r="AV44" s="226"/>
      <c r="AW44" s="296"/>
    </row>
    <row r="45" spans="1:49" x14ac:dyDescent="0.2">
      <c r="B45" s="245" t="s">
        <v>261</v>
      </c>
      <c r="C45" s="203" t="s">
        <v>19</v>
      </c>
      <c r="D45" s="216">
        <v>0</v>
      </c>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0</v>
      </c>
      <c r="AU45" s="220"/>
      <c r="AV45" s="220"/>
      <c r="AW45" s="297"/>
    </row>
    <row r="46" spans="1:49" x14ac:dyDescent="0.2">
      <c r="B46" s="245" t="s">
        <v>262</v>
      </c>
      <c r="C46" s="203" t="s">
        <v>20</v>
      </c>
      <c r="D46" s="216">
        <v>0</v>
      </c>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x14ac:dyDescent="0.2">
      <c r="B47" s="245" t="s">
        <v>263</v>
      </c>
      <c r="C47" s="203" t="s">
        <v>21</v>
      </c>
      <c r="D47" s="216">
        <v>0</v>
      </c>
      <c r="E47" s="217"/>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0</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c r="AU51" s="220"/>
      <c r="AV51" s="220"/>
      <c r="AW51" s="297"/>
    </row>
    <row r="52" spans="2:49" ht="25.5" x14ac:dyDescent="0.2">
      <c r="B52" s="239" t="s">
        <v>267</v>
      </c>
      <c r="C52" s="203" t="s">
        <v>89</v>
      </c>
      <c r="D52" s="216">
        <v>0</v>
      </c>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0</v>
      </c>
      <c r="AU52" s="220"/>
      <c r="AV52" s="220"/>
      <c r="AW52" s="297"/>
    </row>
    <row r="53" spans="2:49" ht="25.5" x14ac:dyDescent="0.2">
      <c r="B53" s="239" t="s">
        <v>268</v>
      </c>
      <c r="C53" s="203" t="s">
        <v>88</v>
      </c>
      <c r="D53" s="216">
        <v>0</v>
      </c>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0</v>
      </c>
      <c r="E56" s="229">
        <v>0</v>
      </c>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1870</v>
      </c>
      <c r="AU56" s="230"/>
      <c r="AV56" s="230"/>
      <c r="AW56" s="288"/>
    </row>
    <row r="57" spans="2:49" x14ac:dyDescent="0.2">
      <c r="B57" s="245" t="s">
        <v>272</v>
      </c>
      <c r="C57" s="203" t="s">
        <v>25</v>
      </c>
      <c r="D57" s="231">
        <v>0</v>
      </c>
      <c r="E57" s="232">
        <v>0</v>
      </c>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2747</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0</v>
      </c>
      <c r="AU58" s="233"/>
      <c r="AV58" s="233"/>
      <c r="AW58" s="289"/>
    </row>
    <row r="59" spans="2:49" x14ac:dyDescent="0.2">
      <c r="B59" s="245" t="s">
        <v>274</v>
      </c>
      <c r="C59" s="203" t="s">
        <v>27</v>
      </c>
      <c r="D59" s="231">
        <v>0</v>
      </c>
      <c r="E59" s="232">
        <v>0</v>
      </c>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34916</v>
      </c>
      <c r="AU59" s="233"/>
      <c r="AV59" s="233"/>
      <c r="AW59" s="289"/>
    </row>
    <row r="60" spans="2:49" x14ac:dyDescent="0.2">
      <c r="B60" s="245" t="s">
        <v>275</v>
      </c>
      <c r="C60" s="203"/>
      <c r="D60" s="234">
        <f>D$59/12</f>
        <v>0</v>
      </c>
      <c r="E60" s="235">
        <f>E$59/12</f>
        <v>0</v>
      </c>
      <c r="F60" s="235"/>
      <c r="G60" s="235"/>
      <c r="H60" s="235"/>
      <c r="I60" s="234"/>
      <c r="J60" s="234"/>
      <c r="K60" s="235"/>
      <c r="L60" s="235"/>
      <c r="M60" s="235"/>
      <c r="N60" s="235"/>
      <c r="O60" s="234"/>
      <c r="P60" s="234"/>
      <c r="Q60" s="235"/>
      <c r="R60" s="235"/>
      <c r="S60" s="235"/>
      <c r="T60" s="235"/>
      <c r="U60" s="234"/>
      <c r="V60" s="235"/>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f>AT$59/12</f>
        <v>2909.6666666666665</v>
      </c>
      <c r="AU60" s="236"/>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AT60" sqref="AT60"/>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0</v>
      </c>
      <c r="E5" s="326">
        <v>0</v>
      </c>
      <c r="F5" s="326"/>
      <c r="G5" s="328"/>
      <c r="H5" s="328"/>
      <c r="I5" s="325"/>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2290382.4300857801</v>
      </c>
      <c r="AU5" s="327"/>
      <c r="AV5" s="369"/>
      <c r="AW5" s="373"/>
    </row>
    <row r="6" spans="2:49" x14ac:dyDescent="0.2">
      <c r="B6" s="343" t="s">
        <v>278</v>
      </c>
      <c r="C6" s="331" t="s">
        <v>8</v>
      </c>
      <c r="D6" s="318">
        <v>0</v>
      </c>
      <c r="E6" s="319">
        <v>0</v>
      </c>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342011.26926145708</v>
      </c>
      <c r="AU6" s="321"/>
      <c r="AV6" s="368"/>
      <c r="AW6" s="374"/>
    </row>
    <row r="7" spans="2:49" x14ac:dyDescent="0.2">
      <c r="B7" s="343" t="s">
        <v>279</v>
      </c>
      <c r="C7" s="331" t="s">
        <v>9</v>
      </c>
      <c r="D7" s="318">
        <v>0</v>
      </c>
      <c r="E7" s="319">
        <v>0</v>
      </c>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295020</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x14ac:dyDescent="0.2">
      <c r="B10" s="345" t="s">
        <v>83</v>
      </c>
      <c r="C10" s="331"/>
      <c r="D10" s="365"/>
      <c r="E10" s="319">
        <v>0</v>
      </c>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
      <c r="B12" s="343" t="s">
        <v>282</v>
      </c>
      <c r="C12" s="331" t="s">
        <v>44</v>
      </c>
      <c r="D12" s="318">
        <v>0</v>
      </c>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
      <c r="B13" s="343" t="s">
        <v>283</v>
      </c>
      <c r="C13" s="331" t="s">
        <v>10</v>
      </c>
      <c r="D13" s="318">
        <v>0</v>
      </c>
      <c r="E13" s="319">
        <v>0</v>
      </c>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v>0</v>
      </c>
      <c r="E14" s="319">
        <v>0</v>
      </c>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0</v>
      </c>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1233542.0570392651</v>
      </c>
      <c r="AU23" s="321"/>
      <c r="AV23" s="368"/>
      <c r="AW23" s="374"/>
    </row>
    <row r="24" spans="2:49" ht="28.5" customHeight="1" x14ac:dyDescent="0.2">
      <c r="B24" s="345" t="s">
        <v>114</v>
      </c>
      <c r="C24" s="331"/>
      <c r="D24" s="365"/>
      <c r="E24" s="319">
        <v>0</v>
      </c>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0</v>
      </c>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230475.38962895979</v>
      </c>
      <c r="AU26" s="321"/>
      <c r="AV26" s="368"/>
      <c r="AW26" s="374"/>
    </row>
    <row r="27" spans="2:49" s="5" customFormat="1" ht="25.5" x14ac:dyDescent="0.2">
      <c r="B27" s="345" t="s">
        <v>85</v>
      </c>
      <c r="C27" s="331"/>
      <c r="D27" s="365"/>
      <c r="E27" s="319">
        <v>0</v>
      </c>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0</v>
      </c>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271489.80848831945</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536191.28658742271</v>
      </c>
      <c r="AU30" s="321"/>
      <c r="AV30" s="368"/>
      <c r="AW30" s="374"/>
    </row>
    <row r="31" spans="2:49" s="5" customFormat="1" ht="25.5" x14ac:dyDescent="0.2">
      <c r="B31" s="345" t="s">
        <v>84</v>
      </c>
      <c r="C31" s="331"/>
      <c r="D31" s="365"/>
      <c r="E31" s="319">
        <v>0</v>
      </c>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403098.24170032726</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5791791.6795054879</v>
      </c>
      <c r="AU34" s="321"/>
      <c r="AV34" s="368"/>
      <c r="AW34" s="374"/>
    </row>
    <row r="35" spans="2:49" s="5" customFormat="1" x14ac:dyDescent="0.2">
      <c r="B35" s="345" t="s">
        <v>91</v>
      </c>
      <c r="C35" s="331"/>
      <c r="D35" s="365"/>
      <c r="E35" s="319">
        <v>0</v>
      </c>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5392878.9665342728</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x14ac:dyDescent="0.2">
      <c r="B39" s="345" t="s">
        <v>86</v>
      </c>
      <c r="C39" s="331"/>
      <c r="D39" s="365"/>
      <c r="E39" s="319">
        <v>0</v>
      </c>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x14ac:dyDescent="0.2">
      <c r="B42" s="345" t="s">
        <v>92</v>
      </c>
      <c r="C42" s="331"/>
      <c r="D42" s="365"/>
      <c r="E42" s="319">
        <v>0</v>
      </c>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v>0</v>
      </c>
      <c r="E46" s="319">
        <v>0</v>
      </c>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v>0</v>
      </c>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v>0</v>
      </c>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v>0</v>
      </c>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v>0</v>
      </c>
      <c r="E53" s="319">
        <v>0</v>
      </c>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f>D23+D26-D28+D30-D32+D34-D36+D38+D41-D43+D45+D46-D47-D49+D50+D51+D52+D53</f>
        <v>0</v>
      </c>
      <c r="E54" s="323">
        <f>E24+E27+E31+E35-E36+E39+E42+E45+E46-E49+E51+E52+E53</f>
        <v>0</v>
      </c>
      <c r="F54" s="323"/>
      <c r="G54" s="323"/>
      <c r="H54" s="323"/>
      <c r="I54" s="322"/>
      <c r="J54" s="322"/>
      <c r="K54" s="323"/>
      <c r="L54" s="323"/>
      <c r="M54" s="323"/>
      <c r="N54" s="323"/>
      <c r="O54" s="322"/>
      <c r="P54" s="322"/>
      <c r="Q54" s="323"/>
      <c r="R54" s="323"/>
      <c r="S54" s="323"/>
      <c r="T54" s="323"/>
      <c r="U54" s="322"/>
      <c r="V54" s="323"/>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f>AT23+AT26-AT28+AT30-AT32+AT34-AT36+AT38+AT41-AT43+AT45+AT46-AT47-AT49+AT50+AT51+AT52+AT53</f>
        <v>1724533.3960382165</v>
      </c>
      <c r="AU54" s="324"/>
      <c r="AV54" s="368"/>
      <c r="AW54" s="374"/>
    </row>
    <row r="55" spans="2:49" ht="25.5" x14ac:dyDescent="0.2">
      <c r="B55" s="348" t="s">
        <v>493</v>
      </c>
      <c r="C55" s="335" t="s">
        <v>28</v>
      </c>
      <c r="D55" s="322">
        <f>MIN(MAX(0,D56),MAX(0,D57))</f>
        <v>0</v>
      </c>
      <c r="E55" s="323">
        <f>MIN(MAX(0,E56),MAX(0,E57))</f>
        <v>0</v>
      </c>
      <c r="F55" s="323"/>
      <c r="G55" s="323"/>
      <c r="H55" s="323"/>
      <c r="I55" s="322"/>
      <c r="J55" s="322"/>
      <c r="K55" s="323"/>
      <c r="L55" s="323"/>
      <c r="M55" s="323"/>
      <c r="N55" s="323"/>
      <c r="O55" s="322"/>
      <c r="P55" s="322"/>
      <c r="Q55" s="323"/>
      <c r="R55" s="323"/>
      <c r="S55" s="323"/>
      <c r="T55" s="323"/>
      <c r="U55" s="322"/>
      <c r="V55" s="323"/>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f>MIN(MAX(0,AT56),MAX(0,AT57))</f>
        <v>0</v>
      </c>
      <c r="AU55" s="324"/>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v>0</v>
      </c>
      <c r="E57" s="319">
        <v>0</v>
      </c>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50" sqref="D50"/>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0</v>
      </c>
      <c r="D5" s="403">
        <v>0</v>
      </c>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0</v>
      </c>
      <c r="D6" s="398">
        <v>0</v>
      </c>
      <c r="E6" s="400">
        <f>SUM('Pt 1 Summary of Data'!E$12,'Pt 1 Summary of Data'!E$22)+SUM('Pt 1 Summary of Data'!G$12,'Pt 1 Summary of Data'!G$22)-SUM('Pt 1 Summary of Data'!H$12,'Pt 1 Summary of Data'!H$22)</f>
        <v>0</v>
      </c>
      <c r="F6" s="400">
        <f t="shared" ref="F6:F11" si="0">SUM(C6:E6)</f>
        <v>0</v>
      </c>
      <c r="G6" s="401">
        <f>SUM('Pt 1 Summary of Data'!I$12,'Pt 1 Summary of Data'!I$22)</f>
        <v>0</v>
      </c>
      <c r="H6" s="397"/>
      <c r="I6" s="398"/>
      <c r="J6" s="400"/>
      <c r="K6" s="400"/>
      <c r="L6" s="401"/>
      <c r="M6" s="397"/>
      <c r="N6" s="398"/>
      <c r="O6" s="400"/>
      <c r="P6" s="400"/>
      <c r="Q6" s="397"/>
      <c r="R6" s="398"/>
      <c r="S6" s="400"/>
      <c r="T6" s="400"/>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v>0</v>
      </c>
      <c r="D7" s="398">
        <v>0</v>
      </c>
      <c r="E7" s="400">
        <f>SUM('Pt 1 Summary of Data'!E$37:E$41)+SUM('Pt 1 Summary of Data'!G$37:G$41)-SUM('Pt 1 Summary of Data'!H$37:H$41)+MAX(0,MIN('Pt 1 Summary of Data'!E$42+'Pt 1 Summary of Data'!G$42-'Pt 1 Summary of Data'!H$42,0.3%*('Pt 1 Summary of Data'!E$5+'Pt 1 Summary of Data'!G$5-'Pt 1 Summary of Data'!H$5-SUM(E$9:E$11))))</f>
        <v>0</v>
      </c>
      <c r="F7" s="400">
        <f t="shared" si="0"/>
        <v>0</v>
      </c>
      <c r="G7" s="401">
        <f>SUM('Pt 1 Summary of Data'!I$37:I$41)+MAX(0,MIN('Pt 1 Summary of Data'!I$42,0.3%*('Pt 1 Summary of Data'!I$5-SUM(G$9:G$10))))</f>
        <v>0</v>
      </c>
      <c r="H7" s="397"/>
      <c r="I7" s="398"/>
      <c r="J7" s="400"/>
      <c r="K7" s="400"/>
      <c r="L7" s="401"/>
      <c r="M7" s="397"/>
      <c r="N7" s="398"/>
      <c r="O7" s="400"/>
      <c r="P7" s="400"/>
      <c r="Q7" s="397"/>
      <c r="R7" s="398"/>
      <c r="S7" s="400"/>
      <c r="T7" s="400"/>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v>0</v>
      </c>
      <c r="E8" s="400">
        <f>'Pt 2 Premium and Claims'!$E$58+'Pt 2 Premium and Claims'!$G$57-'Pt 2 Premium and Claims'!$H$57</f>
        <v>0</v>
      </c>
      <c r="F8" s="400">
        <f t="shared" si="0"/>
        <v>0</v>
      </c>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f>'Pt 2 Premium and Claims'!E$15+'Pt 2 Premium and Claims'!G$15-'Pt 2 Premium and Claims'!H$15</f>
        <v>0</v>
      </c>
      <c r="F9" s="400">
        <f t="shared" si="0"/>
        <v>0</v>
      </c>
      <c r="G9" s="401">
        <f>'Pt 2 Premium and Claims'!I$15</f>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f>'Pt 2 Premium and Claims'!E$16+'Pt 2 Premium and Claims'!G$16-'Pt 2 Premium and Claims'!H$16</f>
        <v>0</v>
      </c>
      <c r="F10" s="400">
        <f t="shared" si="0"/>
        <v>0</v>
      </c>
      <c r="G10" s="401">
        <f>'Pt 2 Premium and Claims'!I$16</f>
        <v>0</v>
      </c>
      <c r="H10" s="443"/>
      <c r="I10" s="398"/>
      <c r="J10" s="400"/>
      <c r="K10" s="400"/>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0</v>
      </c>
      <c r="E11" s="400">
        <f>'Pt 2 Premium and Claims'!E$17+'Pt 2 Premium and Claims'!G$17-'Pt 2 Premium and Claims'!H$17</f>
        <v>0</v>
      </c>
      <c r="F11" s="400">
        <f t="shared" si="0"/>
        <v>0</v>
      </c>
      <c r="G11" s="450"/>
      <c r="H11" s="443"/>
      <c r="I11" s="398"/>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f>SUM(C$6:C$7)+IF(AND(OR('Company Information'!$C$12="District of Columbia",'Company Information'!$C$12="Massachusetts",'Company Information'!$C$12="Vermont"),SUM($C$6:$F$11,$C$15:$F$16,$C$38:$D$38)&lt;&gt;0),SUM(H$6:H$7),0)</f>
        <v>0</v>
      </c>
      <c r="D12" s="400">
        <f>SUM(D$6:D$7)+IF(AND(OR('Company Information'!$C$12="District of Columbia",'Company Information'!$C$12="Massachusetts",'Company Information'!$C$12="Vermont"),SUM($C$6:$F$11,$C$15:$F$16,$C$38:$D$38)&lt;&gt;0),SUM(I$6:I$7),0)</f>
        <v>0</v>
      </c>
      <c r="E12" s="400">
        <f>SUM(E$6:E$7)-SUM(E$8:E$11)+IF(AND(OR('Company Information'!$C$12="District of Columbia",'Company Information'!$C$12="Massachusetts",'Company Information'!$C$12="Vermont"),SUM($C$6:$F$11,$C$15:$F$16,$C$38:$D$38)&lt;&gt;0),SUM(J$6:J$7)-SUM(J$10:J$11),0)</f>
        <v>0</v>
      </c>
      <c r="F12" s="400">
        <f>IFERROR(SUM(C$12:E$12)+C$17*MAX(0,E$50-C$50)+D$17*MAX(0,E$50-D$50),0)</f>
        <v>0</v>
      </c>
      <c r="G12" s="447"/>
      <c r="H12" s="399"/>
      <c r="I12" s="400"/>
      <c r="J12" s="400"/>
      <c r="K12" s="400"/>
      <c r="L12" s="447"/>
      <c r="M12" s="399"/>
      <c r="N12" s="400"/>
      <c r="O12" s="400"/>
      <c r="P12" s="400"/>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0</v>
      </c>
      <c r="D15" s="403">
        <v>0</v>
      </c>
      <c r="E15" s="395">
        <f>SUM('Pt 1 Summary of Data'!E$5:E$7)+SUM('Pt 1 Summary of Data'!G$5:G$7)-SUM('Pt 1 Summary of Data'!H$5:H$7)-SUM(E$9:E$11)+D$56</f>
        <v>0</v>
      </c>
      <c r="F15" s="395">
        <f>SUM(C15:E15)</f>
        <v>0</v>
      </c>
      <c r="G15" s="396">
        <f>SUM('Pt 1 Summary of Data'!I$5:I$7)-SUM(G$9:G$10)</f>
        <v>0</v>
      </c>
      <c r="H15" s="402"/>
      <c r="I15" s="403"/>
      <c r="J15" s="395"/>
      <c r="K15" s="395"/>
      <c r="L15" s="396"/>
      <c r="M15" s="402"/>
      <c r="N15" s="403"/>
      <c r="O15" s="395"/>
      <c r="P15" s="395"/>
      <c r="Q15" s="402"/>
      <c r="R15" s="403"/>
      <c r="S15" s="395"/>
      <c r="T15" s="395"/>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v>0</v>
      </c>
      <c r="D16" s="398">
        <v>0</v>
      </c>
      <c r="E16" s="400">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Data'!H$31:H$32))+D$57</f>
        <v>0</v>
      </c>
      <c r="F16" s="400">
        <f>SUM(C16:E16)</f>
        <v>0</v>
      </c>
      <c r="G16" s="401">
        <f>SUM('Pt 1 Summary of Data'!I$25:I$28,'Pt 1 Summary of Data'!I$30,'Pt 1 Summary of Data'!I$34:I$35)+IF('Company Information'!$C$15="No",IF(MAX('Pt 1 Summary of Data'!I$31:I$32)=0,MIN('Pt 1 Summary of Data'!I$31:I$32),MAX('Pt 1 Summary of Data'!I$31:I$32)),SUM('Pt 1 Summary of Data'!I$31:I$32))</f>
        <v>0</v>
      </c>
      <c r="H16" s="397"/>
      <c r="I16" s="398"/>
      <c r="J16" s="400"/>
      <c r="K16" s="400"/>
      <c r="L16" s="401"/>
      <c r="M16" s="397"/>
      <c r="N16" s="398"/>
      <c r="O16" s="400"/>
      <c r="P16" s="400"/>
      <c r="Q16" s="397"/>
      <c r="R16" s="398"/>
      <c r="S16" s="400"/>
      <c r="T16" s="400"/>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f>C$15-C$16+IF(AND(OR('Company Information'!$C$12="District of Columbia",'Company Information'!$C$12="Massachusetts",'Company Information'!$C$12="Vermont"),SUM($C$6:$F$11,$C$15:$F$16,$C$38:$D$38)&lt;&gt;0),H$15-H$16,0)</f>
        <v>0</v>
      </c>
      <c r="D17" s="400">
        <f>D$15-D$16+IF(AND(OR('Company Information'!$C$12="District of Columbia",'Company Information'!$C$12="Massachusetts",'Company Information'!$C$12="Vermont"),SUM($C$6:$F$11,$C$15:$F$16,$C$38:$D$38)&lt;&gt;0),I$15-I$16,0)</f>
        <v>0</v>
      </c>
      <c r="E17" s="400">
        <f>E$15-E$16+IF(AND(OR('Company Information'!$C$12="District of Columbia",'Company Information'!$C$12="Massachusetts",'Company Information'!$C$12="Vermont"),SUM($C$6:$F$11,$C$15:$F$16,$C$38:$D$38)&lt;&gt;0),J$15-J$16,0)</f>
        <v>0</v>
      </c>
      <c r="F17" s="400">
        <f>F$15-F$16+IF(AND(OR('Company Information'!$C$12="District of Columbia",'Company Information'!$C$12="Massachusetts",'Company Information'!$C$12="Vermont"),SUM($C$6:$F$11,$C$15:$F$16,$C$38:$D$38)&lt;&gt;0),K$15-K$16,0)</f>
        <v>0</v>
      </c>
      <c r="G17" s="450"/>
      <c r="H17" s="399"/>
      <c r="I17" s="400"/>
      <c r="J17" s="400"/>
      <c r="K17" s="400"/>
      <c r="L17" s="450"/>
      <c r="M17" s="399"/>
      <c r="N17" s="400"/>
      <c r="O17" s="400"/>
      <c r="P17" s="400"/>
      <c r="Q17" s="399"/>
      <c r="R17" s="400"/>
      <c r="S17" s="400"/>
      <c r="T17" s="400"/>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f>SUM(G$6:G$7)-SUM(G$8:G$10)+IF(AND(OR('Company Information'!$C$12="District of Columbia",'Company Information'!$C$12="Massachusetts",'Company Information'!$C$12="Vermont"),SUM($G$6:$G$10,$G$15:$G$16)&lt;&gt;0),SUM(L$6:L$7)-L$10,0)</f>
        <v>0</v>
      </c>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f>SUM('Pt 1 Summary of Data'!I$44:I$47,'Pt 1 Summary of Data'!I$49:I$51)+IF(AND(OR('Company Information'!$C$12="District of Columbia",'Company Information'!$C$12="Massachusetts",'Company Information'!$C$12="Vermont"),SUM($G$6:$G$10,$G$15:$G$16)&lt;&gt;0),SUM('Pt 1 Summary of Data'!O$44:O$47,'Pt 1 Summary of Data'!O$49:O$51),0)</f>
        <v>0</v>
      </c>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f>MAX(MAX(0,G$22),MAX(0,G$23))</f>
        <v>0</v>
      </c>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f>G$15-G$19-G$16-G$20+IF(AND(OR('Company Information'!$C$12="District of Columbia",'Company Information'!$C$12="Massachusetts",'Company Information'!$C$12="Vermont"),SUM($G$6:$G$10,$G$15:$G$16)&lt;&gt;0),L$15-L$16,0)</f>
        <v>0</v>
      </c>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f>(3%+2%)*(G$15-G$16+IF(AND(OR('Company Information'!$C$12="District of Columbia",'Company Information'!$C$12="Massachusetts",'Company Information'!$C$12="Vermont"),SUM($G$6:$G$10,$G$15:$G$16)&lt;&gt;0),L$15-L$16,0))</f>
        <v>0</v>
      </c>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f>(3%)*(G$15-G$16+IF(AND(OR('Company Information'!$C$12="District of Columbia",'Company Information'!$C$12="Massachusetts",'Company Information'!$C$12="Vermont"),SUM($G$6:$G$10,$G$15:$G$16)&lt;&gt;0),L$15-L$16,0))</f>
        <v>0</v>
      </c>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f>MIN(MAX(0,G$26),MAX(0,G$27))</f>
        <v>0</v>
      </c>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f>G$20+G$21+G$16+IF(AND(OR('Company Information'!$C$12="District of Columbia",'Company Information'!$C$12="Massachusetts",'Company Information'!$C$12="Vermont"),SUM($G$6:$G$10,$G$15:$G$16)&lt;&gt;0),L$16,0)</f>
        <v>0</v>
      </c>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f>(20%+2%)*(G$15-G$16+IF(AND(OR('Company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f>G$15+IF(AND(OR('Company Information'!$C$12="District of Columbia",'Company Information'!$C$12="Massachusetts",'Company Information'!$C$12="Vermont"),SUM($G$6:$G$10,$G$15:$G$16)&lt;&gt;0),L$15,0)-G$25</f>
        <v>0</v>
      </c>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f>MIN(MAX(0,$G$31),MAX(0,$G$32))</f>
        <v>0</v>
      </c>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f>MAX($G$22,$G$24)</f>
        <v>0</v>
      </c>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f>$G$20+$G$30+$G$16</f>
        <v>0</v>
      </c>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f>20%*(G15-G16)+G16</f>
        <v>0</v>
      </c>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f>G$15+IF(AND(OR('Company Information'!$C$12="District of Columbia",'Company Information'!$C$12="Massachusetts",'Company Information'!$C$12="Vermont"),SUM($G$6:$G$10,$G$15:$G$16)&lt;&gt;0),L$15,0)-G$29</f>
        <v>0</v>
      </c>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f>IF(G$33=0,0,G$19/G$33)</f>
        <v>0</v>
      </c>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0</v>
      </c>
      <c r="D38" s="405">
        <v>0</v>
      </c>
      <c r="E38" s="432">
        <f>('Pt 1 Summary of Data'!E$59+'Pt 1 Summary of Data'!G$59-'Pt 1 Summary of Data'!H$59)/12+IF(AND(OR('Company Information'!$C$12="District of Columbia",'Company Information'!$C$12="Massachusetts",'Company Information'!$C$12="Vermont"),SUM($C$6:$F$11,$C$15:$F$16,$C$38:$D$38)&lt;&gt;0),'Pt 1 Summary of Data'!K$59+'Pt 1 Summary of Data'!M$59-'Pt 1 Summary of Data'!N$59,0)/12</f>
        <v>0</v>
      </c>
      <c r="F38" s="432">
        <f>SUM(C$38:E$38)+IF(AND(OR('Company Information'!$C$12="District of Columbia",'Company Information'!$C$12="Massachusetts",'Company Information'!$C$12="Vermont"),SUM($C$6:$F$11,$C$15:$F$16,$C$38:$D$38)&lt;&gt;0,SUM(C$38:D$38)&lt;&gt;SUM(H$38:I$38)),SUM(H$38:I$38),0)</f>
        <v>0</v>
      </c>
      <c r="G38" s="448"/>
      <c r="H38" s="404"/>
      <c r="I38" s="405"/>
      <c r="J38" s="432"/>
      <c r="K38" s="432"/>
      <c r="L38" s="448"/>
      <c r="M38" s="404"/>
      <c r="N38" s="405"/>
      <c r="O38" s="432"/>
      <c r="P38" s="432"/>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f ca="1">IF(OR(F$38&lt;1000,F$38&gt;=75000,AND(C$38&gt;=1000,D$38&gt;=1000,E$38&gt;=1000,C$45&lt;C$50,D$45&lt;D$50,E$45&lt;E$50)),0,VLOOKUP(F$38,'Reference Tables'!$A$4:$B$11,2)+((F$38-VLOOKUP(F$38,'Reference Tables'!$A$4:$B$11,1))*(OFFSET(INDEX('Reference Tables'!$A$4:$A$11,MATCH(F$38,'Reference Tables'!$A$4:$A$11)),1,1)-VLOOKUP(F$38,'Reference Tables'!$A$4:$B$11,2))/(OFFSET(INDEX('Reference Tables'!$A$4:$A$11,MATCH(F$38,'Reference Tables'!$A$4:$A$11)),1,0)-VLOOKUP(F$38,'Reference Tables'!$A$4:$B$11,1))))</f>
        <v>0</v>
      </c>
      <c r="G39" s="461"/>
      <c r="H39" s="459"/>
      <c r="I39" s="460"/>
      <c r="J39" s="460"/>
      <c r="K39" s="439"/>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f ca="1">IF(F$40&lt;2500,1,(MIN(VLOOKUP(F$40,'Reference Tables'!$A$17:$B$20,2)+((F$40-VLOOKUP(F$40,'Reference Tables'!$A$17:$B$20,1))*(OFFSET(INDEX('Reference Tables'!$A$17:$A$20,MATCH(F$40,'Reference Tables'!$A$17:$A$20)),1,1)-VLOOKUP(F$40,'Reference Tables'!$A$17:$B$20,2))/(OFFSET(INDEX('Reference Tables'!$A$17:$A$20,MATCH(F$40,'Reference Tables'!$A$17:$A$20)),1,0)-VLOOKUP(F$40,'Reference Tables'!$A$17:$B$20,1))),1.736)))</f>
        <v>1</v>
      </c>
      <c r="G41" s="447"/>
      <c r="H41" s="443"/>
      <c r="I41" s="441"/>
      <c r="J41" s="441"/>
      <c r="K41" s="434"/>
      <c r="L41" s="447"/>
      <c r="M41" s="443"/>
      <c r="N41" s="441"/>
      <c r="O41" s="441"/>
      <c r="P41" s="434"/>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f>IF(OR(F$38&lt;1000,F$38&gt;=75000),0,F$39*F$41)</f>
        <v>0</v>
      </c>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tr">
        <f>IF(OR(C$38&lt;1000,C$17&lt;=0),"",C$12/C$17)</f>
        <v/>
      </c>
      <c r="D45" s="436" t="str">
        <f>IF(OR(D$38&lt;1000,D$17&lt;=0),"",D$12/D$17)</f>
        <v/>
      </c>
      <c r="E45" s="436" t="str">
        <f>IF(OR(E$38&lt;1000,E$17&lt;=0),"",E$12/E$17)</f>
        <v/>
      </c>
      <c r="F45" s="436" t="str">
        <f>IF(OR(F$38&lt;1000,F$17&lt;=0),"",F$12/F$17)</f>
        <v/>
      </c>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tr">
        <f>IF(F$45="","",F$42)</f>
        <v/>
      </c>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tr">
        <f>IF(F$45="","",ROUND(F$45+MAX(0,F$47),3))</f>
        <v/>
      </c>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f>80%</f>
        <v>0.8</v>
      </c>
      <c r="F50" s="407">
        <f>80%</f>
        <v>0.8</v>
      </c>
      <c r="G50" s="448"/>
      <c r="H50" s="406"/>
      <c r="I50" s="407"/>
      <c r="J50" s="407"/>
      <c r="K50" s="407"/>
      <c r="L50" s="448"/>
      <c r="M50" s="406"/>
      <c r="N50" s="407"/>
      <c r="O50" s="407"/>
      <c r="P50" s="407"/>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t="str">
        <f>F$48</f>
        <v/>
      </c>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tr">
        <f>IF(F$38&lt;1000,"",MAX(0,E$15-E$16))</f>
        <v/>
      </c>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f>IF(OR(F$38&lt;1000,F$17&lt;=0),0,MAX(0,F$50-F$51)*F$52)</f>
        <v>0</v>
      </c>
      <c r="G53" s="447"/>
      <c r="H53" s="443"/>
      <c r="I53" s="441"/>
      <c r="J53" s="441"/>
      <c r="K53" s="400"/>
      <c r="L53" s="447"/>
      <c r="M53" s="443"/>
      <c r="N53" s="441"/>
      <c r="O53" s="441"/>
      <c r="P53" s="400"/>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f>'Pt 1 Summary of Data'!$E$56+'Pt 1 Summary of Data'!$G$56-'Pt 1 Summary of Data'!$H$56</f>
        <v>0</v>
      </c>
      <c r="D4" s="104"/>
      <c r="E4" s="104"/>
      <c r="F4" s="104"/>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c r="D11" s="97"/>
      <c r="E11" s="97"/>
      <c r="F11" s="97"/>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Jacob Allensworth</cp:lastModifiedBy>
  <cp:lastPrinted>2014-12-18T11:24:00Z</cp:lastPrinted>
  <dcterms:created xsi:type="dcterms:W3CDTF">2012-03-15T16:14:51Z</dcterms:created>
  <dcterms:modified xsi:type="dcterms:W3CDTF">2016-07-20T22:36:16Z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