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LR and Risk Corridor\MLR_Templates\"/>
    </mc:Choice>
  </mc:AlternateContent>
  <workbookProtection lockStructure="1"/>
  <bookViews>
    <workbookView xWindow="0" yWindow="0" windowWidth="24000" windowHeight="913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C4" i="16"/>
  <c r="P52" i="10"/>
  <c r="K52" i="10"/>
  <c r="F52" i="10"/>
  <c r="P51" i="10"/>
  <c r="K51" i="10"/>
  <c r="F51" i="10"/>
  <c r="F48" i="10"/>
  <c r="K48" i="10"/>
  <c r="P48" i="10"/>
  <c r="P47" i="10"/>
  <c r="K47" i="10"/>
  <c r="F47" i="10"/>
  <c r="P45" i="10"/>
  <c r="O45" i="10"/>
  <c r="N45" i="10"/>
  <c r="K45" i="10"/>
  <c r="J45" i="10"/>
  <c r="I45" i="10"/>
  <c r="F45" i="10"/>
  <c r="E45" i="10"/>
  <c r="D45" i="10"/>
  <c r="P42" i="10"/>
  <c r="K42" i="10"/>
  <c r="F42" i="10"/>
  <c r="P39" i="10"/>
  <c r="K39" i="10"/>
  <c r="F39" i="10"/>
  <c r="O38" i="10"/>
  <c r="P38" i="10" s="1"/>
  <c r="J38" i="10"/>
  <c r="K38" i="10" s="1"/>
  <c r="F38" i="10"/>
  <c r="E38" i="10"/>
  <c r="L34" i="10" l="1"/>
  <c r="G34" i="10"/>
  <c r="L33" i="10"/>
  <c r="G33" i="10"/>
  <c r="L29" i="10"/>
  <c r="G29" i="10"/>
  <c r="L32" i="10"/>
  <c r="G32" i="10"/>
  <c r="L31" i="10"/>
  <c r="L30" i="10"/>
  <c r="G31" i="10"/>
  <c r="G30" i="10"/>
  <c r="L28" i="10"/>
  <c r="G28" i="10"/>
  <c r="L25" i="10"/>
  <c r="G25" i="10"/>
  <c r="G27" i="10"/>
  <c r="L27" i="10"/>
  <c r="L26" i="10"/>
  <c r="G26" i="10"/>
  <c r="L21" i="10"/>
  <c r="G21" i="10"/>
  <c r="L24" i="10"/>
  <c r="G24" i="10"/>
  <c r="G23" i="10"/>
  <c r="L23" i="10"/>
  <c r="G22" i="10"/>
  <c r="L22" i="10"/>
  <c r="G20" i="10"/>
  <c r="L20" i="10"/>
  <c r="L19" i="10"/>
  <c r="G19" i="10"/>
  <c r="K16" i="10"/>
  <c r="K17" i="10"/>
  <c r="F17" i="10"/>
  <c r="F16" i="10"/>
  <c r="F15" i="10"/>
  <c r="O16" i="10"/>
  <c r="L16" i="10"/>
  <c r="J16" i="10"/>
  <c r="G16" i="10"/>
  <c r="E16" i="10"/>
  <c r="O15" i="10"/>
  <c r="L15" i="10"/>
  <c r="J15" i="10"/>
  <c r="G15" i="10"/>
  <c r="E15" i="10"/>
  <c r="I15" i="10"/>
  <c r="D15" i="10"/>
  <c r="O17" i="10" l="1"/>
  <c r="N17" i="10"/>
  <c r="M17" i="10"/>
  <c r="J17" i="10"/>
  <c r="I17" i="10"/>
  <c r="H17" i="10"/>
  <c r="E17" i="10"/>
  <c r="D17" i="10"/>
  <c r="C17" i="10"/>
  <c r="K12" i="10"/>
  <c r="J12" i="10"/>
  <c r="I12" i="10"/>
  <c r="F12" i="10"/>
  <c r="E12" i="10"/>
  <c r="D12" i="10"/>
  <c r="P12" i="10"/>
  <c r="O12" i="10"/>
  <c r="N12" i="10"/>
  <c r="M12" i="10"/>
  <c r="H12" i="10"/>
  <c r="C12" i="10"/>
  <c r="J11" i="10"/>
  <c r="F11" i="10"/>
  <c r="E11" i="10"/>
  <c r="L10" i="10"/>
  <c r="J10" i="10"/>
  <c r="G10" i="10"/>
  <c r="E10" i="10"/>
  <c r="G9" i="10" l="1"/>
  <c r="E9" i="10"/>
  <c r="G8" i="10"/>
  <c r="E8" i="10"/>
  <c r="O6" i="10"/>
  <c r="L6" i="10"/>
  <c r="J6" i="10"/>
  <c r="G6" i="10"/>
  <c r="E6" i="10"/>
  <c r="P7" i="10" l="1"/>
  <c r="P6" i="10"/>
  <c r="P16" i="10"/>
  <c r="P15" i="10"/>
  <c r="K15" i="10"/>
  <c r="K11" i="10"/>
  <c r="K10" i="10"/>
  <c r="K7" i="10"/>
  <c r="K6" i="10"/>
  <c r="F10" i="10"/>
  <c r="F9" i="10"/>
  <c r="F8" i="10"/>
  <c r="F7" i="10"/>
  <c r="F6" i="10"/>
  <c r="P17" i="10" l="1"/>
  <c r="I60" i="4"/>
  <c r="E60" i="4"/>
  <c r="D60" i="4"/>
  <c r="J60" i="4"/>
  <c r="K60" i="4"/>
  <c r="O60" i="4"/>
  <c r="P60" i="4"/>
  <c r="Q60" i="4"/>
  <c r="Q12" i="4" l="1"/>
  <c r="P12" i="4"/>
  <c r="O12" i="4"/>
  <c r="K12" i="4"/>
  <c r="J12" i="4"/>
  <c r="I12" i="4"/>
  <c r="E12" i="4"/>
  <c r="D12" i="4"/>
  <c r="Q5" i="4"/>
  <c r="P5" i="4"/>
  <c r="O5" i="4"/>
  <c r="K5" i="4"/>
  <c r="J5" i="4"/>
  <c r="I5" i="4"/>
  <c r="E5" i="4"/>
  <c r="D5" i="4"/>
  <c r="Q54" i="18" l="1"/>
  <c r="O54" i="18"/>
  <c r="K54" i="18"/>
  <c r="I54" i="18"/>
  <c r="E54" i="18"/>
  <c r="P54" i="18" l="1"/>
  <c r="J54" i="18"/>
  <c r="D54" i="18"/>
</calcChain>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<sst xmlns="http://schemas.openxmlformats.org/spreadsheetml/2006/main" count="565" uniqueCount="502">
  <si>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</si>
  <si>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</si>
  <si>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</si>
  <si>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</si>
  <si>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</si>
  <si>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</si>
  <si>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</si>
  <si>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</si>
  <si>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</si>
  <si>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</si>
  <si>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</si>
  <si>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</si>
  <si>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</si>
  <si>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</si>
  <si>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</si>
  <si>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</si>
  <si>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</si>
  <si>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</si>
  <si>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</si>
  <si>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</si>
  <si>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</si>
  <si>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</si>
  <si>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</si>
  <si>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</si>
  <si>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</si>
  <si>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</si>
  <si>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</si>
  <si>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</si>
  <si>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</si>
  <si>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</si>
  <si>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</si>
  <si>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</si>
  <si>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</si>
  <si>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</si>
  <si>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</si>
  <si>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</si>
  <si>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</si>
  <si>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</si>
  <si>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</si>
  <si>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</si>
  <si>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</si>
  <si>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</si>
  <si>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</si>
  <si>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</si>
  <si>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</si>
  <si>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</si>
  <si>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</si>
  <si>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</si>
  <si>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</si>
  <si>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</si>
  <si>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</si>
  <si>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</si>
  <si>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</si>
  <si>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</si>
  <si>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</si>
  <si>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</si>
  <si>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</si>
  <si>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</si>
  <si>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</si>
  <si>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</si>
  <si>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</si>
  <si>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</si>
  <si>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</si>
  <si>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</si>
  <si>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</si>
  <si>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</si>
  <si>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</si>
  <si>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</si>
  <si>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</si>
  <si>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</si>
  <si>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</si>
  <si>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</si>
  <si>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</si>
  <si>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</si>
  <si>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</si>
  <si>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</si>
  <si>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</si>
  <si>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</si>
  <si>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</si>
  <si>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</si>
  <si>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</si>
  <si>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</si>
  <si>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</si>
  <si>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</si>
  <si>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</si>
  <si>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</si>
  <si>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</si>
  <si>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</si>
  <si>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</si>
  <si>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</si>
  <si>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</si>
  <si>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</si>
  <si>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</si>
  <si>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</si>
  <si>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</si>
  <si>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</si>
  <si>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</si>
  <si>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</si>
  <si>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</si>
  <si>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</si>
  <si>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</si>
  <si>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</si>
  <si>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</si>
  <si>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</si>
  <si>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</si>
  <si>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</si>
  <si>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</si>
  <si>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</si>
  <si>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</si>
  <si>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</si>
  <si>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</si>
  <si>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</si>
  <si>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</si>
  <si>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</si>
  <si>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</si>
  <si>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</si>
  <si>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</si>
  <si>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</si>
  <si>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</si>
  <si>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</si>
  <si>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</si>
  <si>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</si>
  <si>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</si>
  <si>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</si>
  <si>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</si>
  <si>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</si>
  <si>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</si>
  <si>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</si>
  <si>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</si>
  <si>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</si>
  <si>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</si>
  <si>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</si>
  <si>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</si>
  <si>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</si>
  <si>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</si>
  <si>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</si>
  <si>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</si>
  <si>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</si>
  <si>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</si>
  <si>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</si>
  <si>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</si>
  <si>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</si>
  <si>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</si>
  <si>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</si>
  <si>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</si>
  <si>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</si>
  <si>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</si>
  <si>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</si>
  <si>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</si>
  <si>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</si>
  <si>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</si>
  <si>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</si>
  <si>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</si>
  <si>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</si>
  <si>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</si>
  <si>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</si>
  <si>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</si>
  <si>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</si>
  <si>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</si>
  <si>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</si>
  <si>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</si>
  <si>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</si>
  <si>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</si>
  <si>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</si>
  <si>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</si>
  <si>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</si>
  <si>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</si>
  <si>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</si>
  <si>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</si>
  <si>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</si>
  <si>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</si>
  <si>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</si>
  <si>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</si>
  <si>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</si>
  <si>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</si>
  <si>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</si>
  <si>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</si>
  <si>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</si>
  <si>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</si>
  <si>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</si>
  <si>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</si>
  <si>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</si>
  <si>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</si>
  <si>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</si>
  <si>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</si>
  <si>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</si>
  <si>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</si>
  <si>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</si>
  <si>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</si>
  <si>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</si>
  <si>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</si>
  <si>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</si>
  <si>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</si>
  <si>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</si>
  <si>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</si>
  <si>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</si>
  <si>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</si>
  <si>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</si>
  <si>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</si>
  <si>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</si>
  <si>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</si>
  <si>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</si>
  <si>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</si>
  <si>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</si>
  <si>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</si>
  <si>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</si>
  <si>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</si>
  <si>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</si>
  <si>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</si>
  <si>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</si>
  <si>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</si>
  <si>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</si>
  <si>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</si>
  <si>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</si>
  <si>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</si>
  <si>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</si>
  <si>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</si>
  <si>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</si>
  <si>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</si>
  <si>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</si>
  <si>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</si>
  <si>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</si>
  <si>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</si>
  <si>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</si>
  <si>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</si>
  <si>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</si>
  <si>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</si>
  <si>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</si>
  <si>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</si>
  <si>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</si>
  <si>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</si>
  <si>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</si>
  <si>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</si>
  <si>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</si>
  <si>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</si>
  <si>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</si>
  <si>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</si>
  <si>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</si>
  <si>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</si>
  <si>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</si>
  <si>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</si>
  <si>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</si>
  <si>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</si>
  <si>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</si>
  <si>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</si>
  <si>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</si>
  <si>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</si>
  <si>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</si>
  <si>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</si>
  <si>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</si>
  <si>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</si>
  <si>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</si>
  <si>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</si>
  <si>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</si>
  <si>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</si>
  <si>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</si>
  <si>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</si>
  <si>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</si>
  <si>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</si>
  <si>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</si>
  <si>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</si>
  <si>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</si>
  <si>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</si>
  <si>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</si>
  <si>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</si>
  <si>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</si>
  <si>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</si>
  <si>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</si>
  <si>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</si>
  <si>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</si>
  <si>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</si>
  <si>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</si>
  <si>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</si>
  <si>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</si>
  <si>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</si>
  <si>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</si>
  <si>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</si>
  <si>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</si>
  <si>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</si>
  <si>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</si>
  <si>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</si>
  <si>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</si>
  <si>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</si>
  <si>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</si>
  <si>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</si>
  <si>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</si>
  <si>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</si>
  <si>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</si>
  <si>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</si>
  <si>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</si>
  <si>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</si>
  <si>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</si>
  <si>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</si>
  <si>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</si>
  <si>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</si>
  <si>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</si>
  <si>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</si>
  <si>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</si>
  <si>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</si>
  <si>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</si>
  <si>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</si>
  <si>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</si>
  <si>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</si>
  <si>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</si>
  <si>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</si>
  <si>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</si>
  <si>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</si>
  <si>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</si>
  <si>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</si>
  <si>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</si>
  <si>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</si>
  <si>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</si>
  <si>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</si>
  <si>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</si>
  <si>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</si>
  <si>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</si>
  <si>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</si>
  <si>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</si>
  <si>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</si>
  <si>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</si>
  <si>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</si>
  <si>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</si>
  <si>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</si>
  <si>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</si>
  <si>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</si>
  <si>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</si>
  <si>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</si>
  <si>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</si>
  <si>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</si>
  <si>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</si>
  <si>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</si>
  <si>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</si>
  <si>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</si>
  <si>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</si>
  <si>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</si>
  <si>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</si>
  <si>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</si>
  <si>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</si>
  <si>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</si>
  <si>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</si>
  <si>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</si>
  <si>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</si>
  <si>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</si>
  <si>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</si>
  <si>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</si>
  <si>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</si>
  <si>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</si>
  <si>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</si>
  <si>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</si>
  <si>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</si>
  <si>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</si>
  <si>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</si>
  <si>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</si>
  <si>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</si>
  <si>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</si>
  <si>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</si>
  <si>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</si>
  <si>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</si>
  <si>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</si>
  <si>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</si>
  <si>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</si>
  <si>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</si>
  <si>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</si>
  <si>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</si>
  <si>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</si>
  <si>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</si>
  <si>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</si>
  <si>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</si>
  <si>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</si>
  <si>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</si>
  <si>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</si>
  <si>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</si>
  <si>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</si>
  <si>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</si>
  <si>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</si>
  <si>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</si>
  <si>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</si>
  <si>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</si>
  <si>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</si>
  <si>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</si>
  <si>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</si>
  <si>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</si>
  <si>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</si>
  <si>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</si>
  <si>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</si>
  <si>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</si>
  <si>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</si>
  <si>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</si>
  <si>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</si>
  <si>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</si>
  <si>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</si>
  <si>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</si>
  <si>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</si>
  <si>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</si>
  <si>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</si>
  <si>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</si>
  <si>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</si>
  <si>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</si>
  <si>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</si>
  <si>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</si>
  <si>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</si>
  <si>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</si>
  <si>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</si>
  <si>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</si>
  <si>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</si>
  <si>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</si>
  <si>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</si>
  <si>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</si>
  <si>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</si>
  <si>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</si>
  <si>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</si>
  <si>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</si>
  <si>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</si>
  <si>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</si>
  <si>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</si>
  <si>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</si>
  <si>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</si>
  <si>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</si>
  <si>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</si>
  <si>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</si>
  <si>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</si>
  <si>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</si>
  <si>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</si>
  <si>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</si>
  <si>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</si>
  <si>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</si>
  <si>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</si>
  <si>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</si>
  <si>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</si>
  <si>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</si>
  <si>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</si>
  <si>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</si>
  <si>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</si>
  <si>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</si>
  <si>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</si>
  <si>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</si>
  <si>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</si>
  <si>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</si>
  <si>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</si>
  <si>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</si>
  <si>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</si>
  <si>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</si>
  <si>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</si>
  <si>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</si>
  <si>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</si>
  <si>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</si>
  <si>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</si>
  <si>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</si>
  <si>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</si>
  <si>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</si>
  <si>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</si>
  <si>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</si>
  <si>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</si>
  <si>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</si>
  <si>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</si>
  <si>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</si>
  <si>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</si>
  <si>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</si>
  <si>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</si>
  <si>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</si>
  <si>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</si>
  <si>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</si>
  <si>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</si>
  <si>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</si>
  <si>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</si>
  <si>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</si>
  <si>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</si>
  <si>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</si>
  <si>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</si>
  <si>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</si>
  <si>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</si>
  <si>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</si>
  <si>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</si>
  <si>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</si>
  <si>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</si>
  <si>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</si>
  <si>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</si>
  <si>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</si>
  <si>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</si>
  <si>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</si>
  <si>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</si>
  <si>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</si>
  <si>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</si>
  <si>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</si>
  <si>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</si>
  <si>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</si>
  <si>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</si>
  <si>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</si>
  <si>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</si>
  <si>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</si>
  <si>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</si>
  <si>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</si>
  <si>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</si>
  <si>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</si>
  <si>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</si>
  <si>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</si>
  <si>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CoOportunity Health</t>
  </si>
  <si>
    <t>2015</t>
  </si>
  <si>
    <t>2700 Westown Pkwy, Ste 345 West Des Moines, IA 50266-1411</t>
  </si>
  <si>
    <t>453468530</t>
  </si>
  <si>
    <t>43198</t>
  </si>
  <si>
    <t>637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</si>
</sst>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30" xfId="847"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170</v>
      </c>
    </row>
    <row r="13" spans="1:6" x14ac:dyDescent="0.2">
      <c r="B13" s="147" t="s">
        <v>50</v>
      </c>
      <c r="C13" s="480" t="s">
        <v>152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B15" sqref="B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7681214.7300000004</v>
      </c>
      <c r="E5" s="213">
        <f>'Pt 2 Premium and Claims'!E5+'Pt 2 Premium and Claims'!E6-'Pt 2 Premium and Claims'!E7-'Pt 2 Premium and Claims'!E13+'Pt 2 Premium and Claims'!E14+'Pt 2 Premium and Claims'!E15+'Pt 2 Premium and Claims'!E16+'Pt 2 Premium and Claims'!E17</f>
        <v>7681214.7300000004</v>
      </c>
      <c r="F5" s="213"/>
      <c r="G5" s="213"/>
      <c r="H5" s="213"/>
      <c r="I5" s="212">
        <f>'Pt 2 Premium and Claims'!I5+'Pt 2 Premium and Claims'!I6-'Pt 2 Premium and Claims'!I7-'Pt 2 Premium and Claims'!I13+'Pt 2 Premium and Claims'!I14+'Pt 2 Premium and Claims'!I15+'Pt 2 Premium and Claims'!I16+'Pt 2 Premium and Claims'!I17</f>
        <v>7681214.7300000004</v>
      </c>
      <c r="J5" s="212">
        <f>'Pt 2 Premium and Claims'!J5+'Pt 2 Premium and Claims'!J6-'Pt 2 Premium and Claims'!J7-'Pt 2 Premium and Claims'!J13+'Pt 2 Premium and Claims'!J14+'Pt 2 Premium and Claims'!J15+'Pt 2 Premium and Claims'!J16+'Pt 2 Premium and Claims'!J17</f>
        <v>4145758.2500000009</v>
      </c>
      <c r="K5" s="213">
        <f>'Pt 2 Premium and Claims'!K5+'Pt 2 Premium and Claims'!K6-'Pt 2 Premium and Claims'!K7-'Pt 2 Premium and Claims'!K13+'Pt 2 Premium and Claims'!K14+'Pt 2 Premium and Claims'!K15+'Pt 2 Premium and Claims'!K16+'Pt 2 Premium and Claims'!K17</f>
        <v>4145758.2500000009</v>
      </c>
      <c r="L5" s="213"/>
      <c r="M5" s="213"/>
      <c r="N5" s="213"/>
      <c r="O5" s="212">
        <f>'Pt 2 Premium and Claims'!O5+'Pt 2 Premium and Claims'!O6-'Pt 2 Premium and Claims'!O7-'Pt 2 Premium and Claims'!O13+'Pt 2 Premium and Claims'!O14+'Pt 2 Premium and Claims'!O15+'Pt 2 Premium and Claims'!O16+'Pt 2 Premium and Claims'!O17</f>
        <v>4145758.2500000009</v>
      </c>
      <c r="P5" s="212">
        <f>'Pt 2 Premium and Claims'!P5+'Pt 2 Premium and Claims'!P6-'Pt 2 Premium and Claims'!P7-'Pt 2 Premium and Claims'!P13+'Pt 2 Premium and Claims'!P14+'Pt 2 Premium and Claims'!P15+'Pt 2 Premium and Claims'!P16+'Pt 2 Premium and Claims'!P17</f>
        <v>3308540.21</v>
      </c>
      <c r="Q5" s="213">
        <f>'Pt 2 Premium and Claims'!Q5+'Pt 2 Premium and Claims'!Q6-'Pt 2 Premium and Claims'!Q7-'Pt 2 Premium and Claims'!Q13+'Pt 2 Premium and Claims'!Q14+'Pt 2 Premium and Claims'!Q15+'Pt 2 Premium and Claims'!Q16+'Pt 2 Premium and Claims'!Q17</f>
        <v>3308540.21</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19996176.609999999</v>
      </c>
      <c r="E12" s="213">
        <f>'Pt 2 Premium and Claims'!E54</f>
        <v>21803023.039999999</v>
      </c>
      <c r="F12" s="213"/>
      <c r="G12" s="213"/>
      <c r="H12" s="213"/>
      <c r="I12" s="212">
        <f>'Pt 2 Premium and Claims'!I54</f>
        <v>21803023.039999999</v>
      </c>
      <c r="J12" s="212">
        <f>'Pt 2 Premium and Claims'!J54</f>
        <v>7380901.7599999979</v>
      </c>
      <c r="K12" s="213">
        <f>'Pt 2 Premium and Claims'!K54</f>
        <v>11354232.6</v>
      </c>
      <c r="L12" s="213"/>
      <c r="M12" s="213"/>
      <c r="N12" s="213"/>
      <c r="O12" s="212">
        <f>'Pt 2 Premium and Claims'!O54</f>
        <v>11354232.6</v>
      </c>
      <c r="P12" s="212">
        <f>'Pt 2 Premium and Claims'!P54</f>
        <v>1922921.2700000005</v>
      </c>
      <c r="Q12" s="213">
        <f>'Pt 2 Premium and Claims'!Q54</f>
        <v>2733002.22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2595332.88</v>
      </c>
      <c r="E13" s="217">
        <v>2595332.88</v>
      </c>
      <c r="F13" s="217"/>
      <c r="G13" s="268"/>
      <c r="H13" s="269"/>
      <c r="I13" s="216">
        <v>2595332.88</v>
      </c>
      <c r="J13" s="216">
        <v>1643449.18</v>
      </c>
      <c r="K13" s="217">
        <v>1643449.18</v>
      </c>
      <c r="L13" s="217"/>
      <c r="M13" s="268"/>
      <c r="N13" s="269"/>
      <c r="O13" s="216">
        <v>1643449.18</v>
      </c>
      <c r="P13" s="216">
        <v>436866.47</v>
      </c>
      <c r="Q13" s="217">
        <v>436866.47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317633.15999999997</v>
      </c>
      <c r="E14" s="217">
        <v>317633.15999999997</v>
      </c>
      <c r="F14" s="217"/>
      <c r="G14" s="267"/>
      <c r="H14" s="270"/>
      <c r="I14" s="216">
        <v>317633.15999999997</v>
      </c>
      <c r="J14" s="216">
        <v>181573.32</v>
      </c>
      <c r="K14" s="217">
        <v>181573.32</v>
      </c>
      <c r="L14" s="217"/>
      <c r="M14" s="267"/>
      <c r="N14" s="270"/>
      <c r="O14" s="216">
        <v>181573.32</v>
      </c>
      <c r="P14" s="216">
        <v>53094.39</v>
      </c>
      <c r="Q14" s="217">
        <v>53094.39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-527974.61</v>
      </c>
      <c r="E16" s="268"/>
      <c r="F16" s="269"/>
      <c r="G16" s="270"/>
      <c r="H16" s="270"/>
      <c r="I16" s="272"/>
      <c r="J16" s="216">
        <v>-38.17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9170</v>
      </c>
      <c r="E26" s="217">
        <v>9170</v>
      </c>
      <c r="F26" s="217"/>
      <c r="G26" s="217"/>
      <c r="H26" s="217"/>
      <c r="I26" s="216">
        <v>9170</v>
      </c>
      <c r="J26" s="216">
        <v>5772</v>
      </c>
      <c r="K26" s="217">
        <v>5772</v>
      </c>
      <c r="L26" s="217"/>
      <c r="M26" s="217"/>
      <c r="N26" s="217"/>
      <c r="O26" s="216">
        <v>5772</v>
      </c>
      <c r="P26" s="216">
        <v>1445</v>
      </c>
      <c r="Q26" s="217">
        <v>1445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31374.53</v>
      </c>
      <c r="E27" s="217">
        <v>31374.53</v>
      </c>
      <c r="F27" s="217"/>
      <c r="G27" s="217"/>
      <c r="H27" s="217"/>
      <c r="I27" s="216">
        <v>31374.53</v>
      </c>
      <c r="J27" s="216">
        <v>22154.77</v>
      </c>
      <c r="K27" s="217">
        <v>22154.77</v>
      </c>
      <c r="L27" s="217"/>
      <c r="M27" s="217"/>
      <c r="N27" s="217"/>
      <c r="O27" s="216">
        <v>22154.77</v>
      </c>
      <c r="P27" s="216">
        <v>6532.07</v>
      </c>
      <c r="Q27" s="217">
        <v>6532.07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158914.15</v>
      </c>
      <c r="E31" s="217">
        <v>158914.15</v>
      </c>
      <c r="F31" s="217"/>
      <c r="G31" s="217"/>
      <c r="H31" s="217"/>
      <c r="I31" s="216">
        <v>158914.15</v>
      </c>
      <c r="J31" s="216">
        <v>112215.43</v>
      </c>
      <c r="K31" s="217">
        <v>112215.43</v>
      </c>
      <c r="L31" s="217"/>
      <c r="M31" s="217"/>
      <c r="N31" s="217"/>
      <c r="O31" s="216">
        <v>112215.43</v>
      </c>
      <c r="P31" s="216">
        <v>33085.4</v>
      </c>
      <c r="Q31" s="217">
        <v>33085.4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18157.330000000002</v>
      </c>
      <c r="E34" s="217">
        <v>18157.330000000002</v>
      </c>
      <c r="F34" s="217"/>
      <c r="G34" s="217"/>
      <c r="H34" s="217"/>
      <c r="I34" s="216">
        <v>18157.330000000002</v>
      </c>
      <c r="J34" s="216">
        <v>6277.33</v>
      </c>
      <c r="K34" s="217">
        <v>6277.33</v>
      </c>
      <c r="L34" s="217"/>
      <c r="M34" s="217"/>
      <c r="N34" s="217"/>
      <c r="O34" s="216">
        <v>6277.33</v>
      </c>
      <c r="P34" s="216">
        <v>2302.67</v>
      </c>
      <c r="Q34" s="217">
        <v>2302.67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4315</v>
      </c>
      <c r="E35" s="217">
        <v>4315</v>
      </c>
      <c r="F35" s="217"/>
      <c r="G35" s="217"/>
      <c r="H35" s="217"/>
      <c r="I35" s="216">
        <v>4315</v>
      </c>
      <c r="J35" s="216">
        <v>2716</v>
      </c>
      <c r="K35" s="217">
        <v>2716</v>
      </c>
      <c r="L35" s="217"/>
      <c r="M35" s="217"/>
      <c r="N35" s="217"/>
      <c r="O35" s="216">
        <v>2716</v>
      </c>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794392.45</v>
      </c>
      <c r="E44" s="225">
        <v>794392.45</v>
      </c>
      <c r="F44" s="225"/>
      <c r="G44" s="225"/>
      <c r="H44" s="225"/>
      <c r="I44" s="224">
        <v>794392.45</v>
      </c>
      <c r="J44" s="224">
        <v>560951.25</v>
      </c>
      <c r="K44" s="225">
        <v>560951.25</v>
      </c>
      <c r="L44" s="225"/>
      <c r="M44" s="225"/>
      <c r="N44" s="225"/>
      <c r="O44" s="224">
        <v>560951.25</v>
      </c>
      <c r="P44" s="224">
        <v>165389.89000000001</v>
      </c>
      <c r="Q44" s="225">
        <v>165389.89000000001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51619.28</v>
      </c>
      <c r="E45" s="217">
        <v>51619.28</v>
      </c>
      <c r="F45" s="217"/>
      <c r="G45" s="217"/>
      <c r="H45" s="217"/>
      <c r="I45" s="216">
        <v>51619.28</v>
      </c>
      <c r="J45" s="216">
        <v>36450.370000000003</v>
      </c>
      <c r="K45" s="217">
        <v>36450.370000000003</v>
      </c>
      <c r="L45" s="217"/>
      <c r="M45" s="217"/>
      <c r="N45" s="217"/>
      <c r="O45" s="216">
        <v>36450.370000000003</v>
      </c>
      <c r="P45" s="216">
        <v>10745.96</v>
      </c>
      <c r="Q45" s="217">
        <v>10745.96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36621.97</v>
      </c>
      <c r="E46" s="217">
        <v>36621.97</v>
      </c>
      <c r="F46" s="217"/>
      <c r="G46" s="217"/>
      <c r="H46" s="217"/>
      <c r="I46" s="216">
        <v>36621.97</v>
      </c>
      <c r="J46" s="216">
        <v>25860.19</v>
      </c>
      <c r="K46" s="217">
        <v>25860.19</v>
      </c>
      <c r="L46" s="217"/>
      <c r="M46" s="217"/>
      <c r="N46" s="217"/>
      <c r="O46" s="216">
        <v>25860.19</v>
      </c>
      <c r="P46" s="216">
        <v>7624.57</v>
      </c>
      <c r="Q46" s="217">
        <v>7624.57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559272.64</v>
      </c>
      <c r="E47" s="217">
        <v>559272.64</v>
      </c>
      <c r="F47" s="217"/>
      <c r="G47" s="217"/>
      <c r="H47" s="217"/>
      <c r="I47" s="216">
        <v>559272.64</v>
      </c>
      <c r="J47" s="216">
        <v>394924.06</v>
      </c>
      <c r="K47" s="217">
        <v>394924.06</v>
      </c>
      <c r="L47" s="217"/>
      <c r="M47" s="217"/>
      <c r="N47" s="217"/>
      <c r="O47" s="216">
        <v>394924.06</v>
      </c>
      <c r="P47" s="216">
        <v>116438.72</v>
      </c>
      <c r="Q47" s="217">
        <v>116438.72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1067.82</v>
      </c>
      <c r="E49" s="217">
        <v>1067.82</v>
      </c>
      <c r="F49" s="217"/>
      <c r="G49" s="217"/>
      <c r="H49" s="217"/>
      <c r="I49" s="216">
        <v>1067.82</v>
      </c>
      <c r="J49" s="216">
        <v>754.03</v>
      </c>
      <c r="K49" s="217">
        <v>754.03</v>
      </c>
      <c r="L49" s="217"/>
      <c r="M49" s="217"/>
      <c r="N49" s="217"/>
      <c r="O49" s="216">
        <v>754.03</v>
      </c>
      <c r="P49" s="216">
        <v>222.32</v>
      </c>
      <c r="Q49" s="217">
        <v>222.32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2904309.37</v>
      </c>
      <c r="E51" s="217">
        <v>2904309.37</v>
      </c>
      <c r="F51" s="217"/>
      <c r="G51" s="217"/>
      <c r="H51" s="217"/>
      <c r="I51" s="216">
        <v>2904309.37</v>
      </c>
      <c r="J51" s="216">
        <v>2050845.24</v>
      </c>
      <c r="K51" s="217">
        <v>2050845.24</v>
      </c>
      <c r="L51" s="217"/>
      <c r="M51" s="217"/>
      <c r="N51" s="217"/>
      <c r="O51" s="216">
        <v>2050845.24</v>
      </c>
      <c r="P51" s="216">
        <v>604667.63</v>
      </c>
      <c r="Q51" s="217">
        <v>604667.63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v>0</v>
      </c>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0</v>
      </c>
      <c r="E57" s="232">
        <v>0</v>
      </c>
      <c r="F57" s="232"/>
      <c r="G57" s="232"/>
      <c r="H57" s="232"/>
      <c r="I57" s="231">
        <v>0</v>
      </c>
      <c r="J57" s="231">
        <v>0</v>
      </c>
      <c r="K57" s="232">
        <v>0</v>
      </c>
      <c r="L57" s="232"/>
      <c r="M57" s="232"/>
      <c r="N57" s="232"/>
      <c r="O57" s="231">
        <v>0</v>
      </c>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0</v>
      </c>
      <c r="K58" s="232">
        <v>0</v>
      </c>
      <c r="L58" s="232"/>
      <c r="M58" s="232"/>
      <c r="N58" s="232"/>
      <c r="O58" s="231">
        <v>0</v>
      </c>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53942</v>
      </c>
      <c r="E59" s="232">
        <v>53942</v>
      </c>
      <c r="F59" s="232"/>
      <c r="G59" s="232"/>
      <c r="H59" s="232"/>
      <c r="I59" s="231">
        <v>53942</v>
      </c>
      <c r="J59" s="231">
        <v>33954</v>
      </c>
      <c r="K59" s="232">
        <v>33954</v>
      </c>
      <c r="L59" s="232"/>
      <c r="M59" s="232"/>
      <c r="N59" s="232"/>
      <c r="O59" s="231">
        <v>33954</v>
      </c>
      <c r="P59" s="231">
        <v>8499</v>
      </c>
      <c r="Q59" s="232">
        <v>8499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4495.166666666667</v>
      </c>
      <c r="E60" s="235">
        <f>E59/12</f>
        <v>4495.166666666667</v>
      </c>
      <c r="F60" s="235"/>
      <c r="G60" s="235"/>
      <c r="H60" s="235"/>
      <c r="I60" s="234">
        <f>I59/12</f>
        <v>4495.166666666667</v>
      </c>
      <c r="J60" s="234">
        <f>J59/12</f>
        <v>2829.5</v>
      </c>
      <c r="K60" s="235">
        <f>K59/12</f>
        <v>2829.5</v>
      </c>
      <c r="L60" s="235"/>
      <c r="M60" s="235"/>
      <c r="N60" s="235"/>
      <c r="O60" s="234">
        <f>O59/12</f>
        <v>2829.5</v>
      </c>
      <c r="P60" s="234">
        <f>P59/12</f>
        <v>708.25</v>
      </c>
      <c r="Q60" s="235">
        <f>Q59/12</f>
        <v>708.25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-3065.63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15877797.060000001</v>
      </c>
      <c r="E5" s="326">
        <v>15877797.060000001</v>
      </c>
      <c r="F5" s="326"/>
      <c r="G5" s="328"/>
      <c r="H5" s="328"/>
      <c r="I5" s="325">
        <v>15877797.060000001</v>
      </c>
      <c r="J5" s="325">
        <v>11221543.130000001</v>
      </c>
      <c r="K5" s="326">
        <v>11221543.130000001</v>
      </c>
      <c r="L5" s="326"/>
      <c r="M5" s="326"/>
      <c r="N5" s="326"/>
      <c r="O5" s="325">
        <v>11221543.130000001</v>
      </c>
      <c r="P5" s="325">
        <v>3308540.21</v>
      </c>
      <c r="Q5" s="326">
        <v>3308540.21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2008541.46</v>
      </c>
      <c r="E15" s="319">
        <v>2008541.46</v>
      </c>
      <c r="F15" s="319"/>
      <c r="G15" s="319"/>
      <c r="H15" s="319"/>
      <c r="I15" s="318">
        <v>2008541.46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-10205123.789999999</v>
      </c>
      <c r="E16" s="397">
        <v>-10205123.789999999</v>
      </c>
      <c r="F16" s="319"/>
      <c r="G16" s="319"/>
      <c r="H16" s="319"/>
      <c r="I16" s="318">
        <v>-10205123.789999999</v>
      </c>
      <c r="J16" s="318">
        <v>-7075784.8799999999</v>
      </c>
      <c r="K16" s="397">
        <v>-7075784.8799999999</v>
      </c>
      <c r="L16" s="319"/>
      <c r="M16" s="319"/>
      <c r="N16" s="319"/>
      <c r="O16" s="318">
        <v>-7075784.8799999999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55267189.5</v>
      </c>
      <c r="E23" s="362"/>
      <c r="F23" s="362"/>
      <c r="G23" s="362"/>
      <c r="H23" s="362"/>
      <c r="I23" s="364"/>
      <c r="J23" s="318">
        <v>24907637.859999999</v>
      </c>
      <c r="K23" s="362"/>
      <c r="L23" s="362"/>
      <c r="M23" s="362"/>
      <c r="N23" s="362"/>
      <c r="O23" s="364"/>
      <c r="P23" s="318">
        <v>7507076.3300000001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21757995.75</v>
      </c>
      <c r="F24" s="319"/>
      <c r="G24" s="319"/>
      <c r="H24" s="319"/>
      <c r="I24" s="318">
        <v>21757995.75</v>
      </c>
      <c r="J24" s="365"/>
      <c r="K24" s="319">
        <v>11330784</v>
      </c>
      <c r="L24" s="319"/>
      <c r="M24" s="319"/>
      <c r="N24" s="319"/>
      <c r="O24" s="318">
        <v>11330784</v>
      </c>
      <c r="P24" s="365"/>
      <c r="Q24" s="319">
        <v>2727358.06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260357.11</v>
      </c>
      <c r="E26" s="362"/>
      <c r="F26" s="362"/>
      <c r="G26" s="362"/>
      <c r="H26" s="362"/>
      <c r="I26" s="364"/>
      <c r="J26" s="318">
        <v>117336.9</v>
      </c>
      <c r="K26" s="362"/>
      <c r="L26" s="362"/>
      <c r="M26" s="362"/>
      <c r="N26" s="362"/>
      <c r="O26" s="364"/>
      <c r="P26" s="318">
        <v>35364.94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45027.29</v>
      </c>
      <c r="F27" s="319"/>
      <c r="G27" s="319"/>
      <c r="H27" s="319"/>
      <c r="I27" s="318">
        <v>45027.29</v>
      </c>
      <c r="J27" s="365"/>
      <c r="K27" s="319">
        <v>23448.6</v>
      </c>
      <c r="L27" s="319"/>
      <c r="M27" s="319"/>
      <c r="N27" s="319"/>
      <c r="O27" s="318">
        <v>23448.6</v>
      </c>
      <c r="P27" s="365"/>
      <c r="Q27" s="319">
        <v>5644.16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35531370</v>
      </c>
      <c r="E28" s="363"/>
      <c r="F28" s="363"/>
      <c r="G28" s="363"/>
      <c r="H28" s="363"/>
      <c r="I28" s="365"/>
      <c r="J28" s="318">
        <v>17644073</v>
      </c>
      <c r="K28" s="363"/>
      <c r="L28" s="363"/>
      <c r="M28" s="363"/>
      <c r="N28" s="363"/>
      <c r="O28" s="365"/>
      <c r="P28" s="318">
        <v>5619520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19996176.609999999</v>
      </c>
      <c r="E54" s="323">
        <f>E24+E27+E31+E35-E36+E39+E42+E45+E46-E49+E51+E52+E53</f>
        <v>21803023.039999999</v>
      </c>
      <c r="F54" s="323"/>
      <c r="G54" s="323"/>
      <c r="H54" s="323"/>
      <c r="I54" s="322">
        <f>I24+I27+I31+I35-I36+I39+I42+I45+I46-I49+I51+I52+I53</f>
        <v>21803023.039999999</v>
      </c>
      <c r="J54" s="322">
        <f>J23+J26-J28+J30-J32+J34-J36+J38+J41-J43+J45+J46-J47-J49+J50+J51+J52+J53</f>
        <v>7380901.7599999979</v>
      </c>
      <c r="K54" s="323">
        <f>K24+K27+K31+K35-K36+K39+K42+K45+K46-K49+K51+K52+K53</f>
        <v>11354232.6</v>
      </c>
      <c r="L54" s="323"/>
      <c r="M54" s="323"/>
      <c r="N54" s="323"/>
      <c r="O54" s="322">
        <f>O24+O27+O31+O35-O36+O39+O42+O45+O46-O49+O51+O52+O53</f>
        <v>11354232.6</v>
      </c>
      <c r="P54" s="322">
        <f>P23+P26-P28+P30-P32+P34-P36+P38+P41-P43+P45+P46-P47-P49+P50+P51+P52+P53</f>
        <v>1922921.2700000005</v>
      </c>
      <c r="Q54" s="323">
        <f>Q24+Q27+Q31+Q35-Q36+Q39+Q42+Q45+Q46-Q49+Q51+Q52+Q53</f>
        <v>2733002.22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1268644.3700000001</v>
      </c>
      <c r="E58" s="354">
        <v>1268644.3700000001</v>
      </c>
      <c r="F58" s="354"/>
      <c r="G58" s="354"/>
      <c r="H58" s="354"/>
      <c r="I58" s="353">
        <v>1124500.95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4" stopIfTrue="1" operator="lessThan">
      <formula>0</formula>
    </cfRule>
  </conditionalFormatting>
  <conditionalFormatting sqref="AA11:AA14">
    <cfRule type="cellIs" dxfId="501" priority="382" stopIfTrue="1" operator="lessThan">
      <formula>0</formula>
    </cfRule>
  </conditionalFormatting>
  <conditionalFormatting sqref="AN18:AN19">
    <cfRule type="cellIs" dxfId="500" priority="358" stopIfTrue="1" operator="lessThan">
      <formula>0</formula>
    </cfRule>
  </conditionalFormatting>
  <conditionalFormatting sqref="AU47">
    <cfRule type="cellIs" dxfId="499" priority="27" stopIfTrue="1" operator="lessThan">
      <formula>0</formula>
    </cfRule>
  </conditionalFormatting>
  <conditionalFormatting sqref="AS26">
    <cfRule type="cellIs" dxfId="498" priority="62" stopIfTrue="1" operator="lessThan">
      <formula>0</formula>
    </cfRule>
  </conditionalFormatting>
  <conditionalFormatting sqref="AT26">
    <cfRule type="cellIs" dxfId="497" priority="61" stopIfTrue="1" operator="lessThan">
      <formula>0</formula>
    </cfRule>
  </conditionalFormatting>
  <conditionalFormatting sqref="D5:D7">
    <cfRule type="cellIs" dxfId="496" priority="480" stopIfTrue="1" operator="lessThan">
      <formula>0</formula>
    </cfRule>
  </conditionalFormatting>
  <conditionalFormatting sqref="AU51">
    <cfRule type="cellIs" dxfId="495" priority="18" stopIfTrue="1" operator="lessThan">
      <formula>0</formula>
    </cfRule>
  </conditionalFormatting>
  <conditionalFormatting sqref="J5:J7">
    <cfRule type="cellIs" dxfId="494" priority="478" stopIfTrue="1" operator="lessThan">
      <formula>0</formula>
    </cfRule>
  </conditionalFormatting>
  <conditionalFormatting sqref="AT52">
    <cfRule type="cellIs" dxfId="493" priority="16" stopIfTrue="1" operator="lessThan">
      <formula>0</formula>
    </cfRule>
  </conditionalFormatting>
  <conditionalFormatting sqref="P5:P7">
    <cfRule type="cellIs" dxfId="492" priority="476" stopIfTrue="1" operator="lessThan">
      <formula>0</formula>
    </cfRule>
  </conditionalFormatting>
  <conditionalFormatting sqref="U5:U7">
    <cfRule type="cellIs" dxfId="491" priority="475" stopIfTrue="1" operator="lessThan">
      <formula>0</formula>
    </cfRule>
  </conditionalFormatting>
  <conditionalFormatting sqref="X5:X7">
    <cfRule type="cellIs" dxfId="490" priority="474" stopIfTrue="1" operator="lessThan">
      <formula>0</formula>
    </cfRule>
  </conditionalFormatting>
  <conditionalFormatting sqref="AA5:AA7">
    <cfRule type="cellIs" dxfId="489" priority="473" stopIfTrue="1" operator="lessThan">
      <formula>0</formula>
    </cfRule>
  </conditionalFormatting>
  <conditionalFormatting sqref="AD5:AD7">
    <cfRule type="cellIs" dxfId="488" priority="472" stopIfTrue="1" operator="lessThan">
      <formula>0</formula>
    </cfRule>
  </conditionalFormatting>
  <conditionalFormatting sqref="AI5:AI7">
    <cfRule type="cellIs" dxfId="487" priority="471" stopIfTrue="1" operator="lessThan">
      <formula>0</formula>
    </cfRule>
  </conditionalFormatting>
  <conditionalFormatting sqref="AN5:AN7">
    <cfRule type="cellIs" dxfId="486" priority="470" stopIfTrue="1" operator="lessThan">
      <formula>0</formula>
    </cfRule>
  </conditionalFormatting>
  <conditionalFormatting sqref="AS5:AS7">
    <cfRule type="cellIs" dxfId="485" priority="469" stopIfTrue="1" operator="lessThan">
      <formula>0</formula>
    </cfRule>
  </conditionalFormatting>
  <conditionalFormatting sqref="AT5:AT7">
    <cfRule type="cellIs" dxfId="484" priority="468" stopIfTrue="1" operator="lessThan">
      <formula>0</formula>
    </cfRule>
  </conditionalFormatting>
  <conditionalFormatting sqref="AU5:AU7">
    <cfRule type="cellIs" dxfId="483" priority="467" stopIfTrue="1" operator="lessThan">
      <formula>0</formula>
    </cfRule>
  </conditionalFormatting>
  <conditionalFormatting sqref="D9">
    <cfRule type="cellIs" dxfId="482" priority="466" stopIfTrue="1" operator="lessThan">
      <formula>0</formula>
    </cfRule>
  </conditionalFormatting>
  <conditionalFormatting sqref="D11:D20">
    <cfRule type="cellIs" dxfId="481" priority="465" stopIfTrue="1" operator="lessThan">
      <formula>0</formula>
    </cfRule>
  </conditionalFormatting>
  <conditionalFormatting sqref="E10:I10">
    <cfRule type="cellIs" dxfId="480" priority="464" stopIfTrue="1" operator="lessThan">
      <formula>0</formula>
    </cfRule>
  </conditionalFormatting>
  <conditionalFormatting sqref="E11:I11">
    <cfRule type="cellIs" dxfId="479" priority="463" stopIfTrue="1" operator="lessThan">
      <formula>0</formula>
    </cfRule>
  </conditionalFormatting>
  <conditionalFormatting sqref="E13:I15 F16:I16">
    <cfRule type="cellIs" dxfId="478" priority="462" stopIfTrue="1" operator="lessThan">
      <formula>0</formula>
    </cfRule>
  </conditionalFormatting>
  <conditionalFormatting sqref="E18:I20">
    <cfRule type="cellIs" dxfId="477" priority="461" stopIfTrue="1" operator="lessThan">
      <formula>0</formula>
    </cfRule>
  </conditionalFormatting>
  <conditionalFormatting sqref="H17">
    <cfRule type="cellIs" dxfId="476" priority="460" stopIfTrue="1" operator="lessThan">
      <formula>0</formula>
    </cfRule>
  </conditionalFormatting>
  <conditionalFormatting sqref="D23">
    <cfRule type="cellIs" dxfId="475" priority="459" stopIfTrue="1" operator="lessThan">
      <formula>0</formula>
    </cfRule>
  </conditionalFormatting>
  <conditionalFormatting sqref="D26">
    <cfRule type="cellIs" dxfId="474" priority="458" stopIfTrue="1" operator="lessThan">
      <formula>0</formula>
    </cfRule>
  </conditionalFormatting>
  <conditionalFormatting sqref="D28">
    <cfRule type="cellIs" dxfId="473" priority="457" stopIfTrue="1" operator="lessThan">
      <formula>0</formula>
    </cfRule>
  </conditionalFormatting>
  <conditionalFormatting sqref="D30">
    <cfRule type="cellIs" dxfId="472" priority="456" stopIfTrue="1" operator="lessThan">
      <formula>0</formula>
    </cfRule>
  </conditionalFormatting>
  <conditionalFormatting sqref="D32">
    <cfRule type="cellIs" dxfId="471" priority="455" stopIfTrue="1" operator="lessThan">
      <formula>0</formula>
    </cfRule>
  </conditionalFormatting>
  <conditionalFormatting sqref="AU57">
    <cfRule type="cellIs" dxfId="470" priority="6" stopIfTrue="1" operator="lessThan">
      <formula>0</formula>
    </cfRule>
  </conditionalFormatting>
  <conditionalFormatting sqref="D34">
    <cfRule type="cellIs" dxfId="469" priority="454" stopIfTrue="1" operator="lessThan">
      <formula>0</formula>
    </cfRule>
  </conditionalFormatting>
  <conditionalFormatting sqref="D38">
    <cfRule type="cellIs" dxfId="468" priority="453" stopIfTrue="1" operator="lessThan">
      <formula>0</formula>
    </cfRule>
  </conditionalFormatting>
  <conditionalFormatting sqref="D41">
    <cfRule type="cellIs" dxfId="467" priority="452" stopIfTrue="1" operator="lessThan">
      <formula>0</formula>
    </cfRule>
  </conditionalFormatting>
  <conditionalFormatting sqref="D43">
    <cfRule type="cellIs" dxfId="466" priority="451" stopIfTrue="1" operator="lessThan">
      <formula>0</formula>
    </cfRule>
  </conditionalFormatting>
  <conditionalFormatting sqref="D47">
    <cfRule type="cellIs" dxfId="465" priority="450" stopIfTrue="1" operator="lessThan">
      <formula>0</formula>
    </cfRule>
  </conditionalFormatting>
  <conditionalFormatting sqref="D50">
    <cfRule type="cellIs" dxfId="464" priority="449" stopIfTrue="1" operator="lessThan">
      <formula>0</formula>
    </cfRule>
  </conditionalFormatting>
  <conditionalFormatting sqref="E24:I24">
    <cfRule type="cellIs" dxfId="463" priority="447" stopIfTrue="1" operator="lessThan">
      <formula>0</formula>
    </cfRule>
  </conditionalFormatting>
  <conditionalFormatting sqref="E27:I27">
    <cfRule type="cellIs" dxfId="462" priority="446" stopIfTrue="1" operator="lessThan">
      <formula>0</formula>
    </cfRule>
  </conditionalFormatting>
  <conditionalFormatting sqref="E31:I31">
    <cfRule type="cellIs" dxfId="461" priority="445" stopIfTrue="1" operator="lessThan">
      <formula>0</formula>
    </cfRule>
  </conditionalFormatting>
  <conditionalFormatting sqref="E35:I35">
    <cfRule type="cellIs" dxfId="460" priority="444" stopIfTrue="1" operator="lessThan">
      <formula>0</formula>
    </cfRule>
  </conditionalFormatting>
  <conditionalFormatting sqref="E39:I39">
    <cfRule type="cellIs" dxfId="459" priority="443" stopIfTrue="1" operator="lessThan">
      <formula>0</formula>
    </cfRule>
  </conditionalFormatting>
  <conditionalFormatting sqref="E42:I42">
    <cfRule type="cellIs" dxfId="458" priority="442" stopIfTrue="1" operator="lessThan">
      <formula>0</formula>
    </cfRule>
  </conditionalFormatting>
  <conditionalFormatting sqref="D36">
    <cfRule type="cellIs" dxfId="457" priority="441" stopIfTrue="1" operator="lessThan">
      <formula>0</formula>
    </cfRule>
  </conditionalFormatting>
  <conditionalFormatting sqref="E36:I36">
    <cfRule type="cellIs" dxfId="456" priority="440" stopIfTrue="1" operator="lessThan">
      <formula>0</formula>
    </cfRule>
  </conditionalFormatting>
  <conditionalFormatting sqref="D45">
    <cfRule type="cellIs" dxfId="455" priority="439" stopIfTrue="1" operator="lessThan">
      <formula>0</formula>
    </cfRule>
  </conditionalFormatting>
  <conditionalFormatting sqref="E45:I45">
    <cfRule type="cellIs" dxfId="454" priority="438" stopIfTrue="1" operator="lessThan">
      <formula>0</formula>
    </cfRule>
  </conditionalFormatting>
  <conditionalFormatting sqref="D46">
    <cfRule type="cellIs" dxfId="453" priority="437" stopIfTrue="1" operator="lessThan">
      <formula>0</formula>
    </cfRule>
  </conditionalFormatting>
  <conditionalFormatting sqref="E46:I46">
    <cfRule type="cellIs" dxfId="452" priority="436" stopIfTrue="1" operator="lessThan">
      <formula>0</formula>
    </cfRule>
  </conditionalFormatting>
  <conditionalFormatting sqref="D49">
    <cfRule type="cellIs" dxfId="451" priority="435" stopIfTrue="1" operator="lessThan">
      <formula>0</formula>
    </cfRule>
  </conditionalFormatting>
  <conditionalFormatting sqref="E49:I49">
    <cfRule type="cellIs" dxfId="450" priority="434" stopIfTrue="1" operator="lessThan">
      <formula>0</formula>
    </cfRule>
  </conditionalFormatting>
  <conditionalFormatting sqref="D51">
    <cfRule type="cellIs" dxfId="449" priority="433" stopIfTrue="1" operator="lessThan">
      <formula>0</formula>
    </cfRule>
  </conditionalFormatting>
  <conditionalFormatting sqref="E51:I51">
    <cfRule type="cellIs" dxfId="448" priority="432" stopIfTrue="1" operator="lessThan">
      <formula>0</formula>
    </cfRule>
  </conditionalFormatting>
  <conditionalFormatting sqref="D52">
    <cfRule type="cellIs" dxfId="447" priority="431" stopIfTrue="1" operator="lessThan">
      <formula>0</formula>
    </cfRule>
  </conditionalFormatting>
  <conditionalFormatting sqref="E52:I52">
    <cfRule type="cellIs" dxfId="446" priority="430" stopIfTrue="1" operator="lessThan">
      <formula>0</formula>
    </cfRule>
  </conditionalFormatting>
  <conditionalFormatting sqref="D53">
    <cfRule type="cellIs" dxfId="445" priority="429" stopIfTrue="1" operator="lessThan">
      <formula>0</formula>
    </cfRule>
  </conditionalFormatting>
  <conditionalFormatting sqref="E53:I53">
    <cfRule type="cellIs" dxfId="444" priority="428" stopIfTrue="1" operator="lessThan">
      <formula>0</formula>
    </cfRule>
  </conditionalFormatting>
  <conditionalFormatting sqref="D56">
    <cfRule type="cellIs" dxfId="443" priority="427" stopIfTrue="1" operator="lessThan">
      <formula>0</formula>
    </cfRule>
  </conditionalFormatting>
  <conditionalFormatting sqref="E56:I56">
    <cfRule type="cellIs" dxfId="442" priority="426" stopIfTrue="1" operator="lessThan">
      <formula>0</formula>
    </cfRule>
  </conditionalFormatting>
  <conditionalFormatting sqref="D57">
    <cfRule type="cellIs" dxfId="441" priority="425" stopIfTrue="1" operator="lessThan">
      <formula>0</formula>
    </cfRule>
  </conditionalFormatting>
  <conditionalFormatting sqref="E57:I57">
    <cfRule type="cellIs" dxfId="440" priority="424" stopIfTrue="1" operator="lessThan">
      <formula>0</formula>
    </cfRule>
  </conditionalFormatting>
  <conditionalFormatting sqref="D58">
    <cfRule type="cellIs" dxfId="439" priority="423" stopIfTrue="1" operator="lessThan">
      <formula>0</formula>
    </cfRule>
  </conditionalFormatting>
  <conditionalFormatting sqref="E58:I58">
    <cfRule type="cellIs" dxfId="438" priority="422" stopIfTrue="1" operator="lessThan">
      <formula>0</formula>
    </cfRule>
  </conditionalFormatting>
  <conditionalFormatting sqref="J9">
    <cfRule type="cellIs" dxfId="437" priority="421" stopIfTrue="1" operator="lessThan">
      <formula>0</formula>
    </cfRule>
  </conditionalFormatting>
  <conditionalFormatting sqref="J11:J14">
    <cfRule type="cellIs" dxfId="436" priority="420" stopIfTrue="1" operator="lessThan">
      <formula>0</formula>
    </cfRule>
  </conditionalFormatting>
  <conditionalFormatting sqref="K10:O10">
    <cfRule type="cellIs" dxfId="435" priority="419" stopIfTrue="1" operator="lessThan">
      <formula>0</formula>
    </cfRule>
  </conditionalFormatting>
  <conditionalFormatting sqref="K11:O11">
    <cfRule type="cellIs" dxfId="434" priority="418" stopIfTrue="1" operator="lessThan">
      <formula>0</formula>
    </cfRule>
  </conditionalFormatting>
  <conditionalFormatting sqref="K13:O14">
    <cfRule type="cellIs" dxfId="433" priority="417" stopIfTrue="1" operator="lessThan">
      <formula>0</formula>
    </cfRule>
  </conditionalFormatting>
  <conditionalFormatting sqref="J16:J19">
    <cfRule type="cellIs" dxfId="432" priority="416" stopIfTrue="1" operator="lessThan">
      <formula>0</formula>
    </cfRule>
  </conditionalFormatting>
  <conditionalFormatting sqref="L16:O16">
    <cfRule type="cellIs" dxfId="431" priority="415" stopIfTrue="1" operator="lessThan">
      <formula>0</formula>
    </cfRule>
  </conditionalFormatting>
  <conditionalFormatting sqref="K18:O19">
    <cfRule type="cellIs" dxfId="430" priority="414" stopIfTrue="1" operator="lessThan">
      <formula>0</formula>
    </cfRule>
  </conditionalFormatting>
  <conditionalFormatting sqref="L17:N17">
    <cfRule type="cellIs" dxfId="429" priority="413" stopIfTrue="1" operator="lessThan">
      <formula>0</formula>
    </cfRule>
  </conditionalFormatting>
  <conditionalFormatting sqref="P9">
    <cfRule type="cellIs" dxfId="428" priority="412" stopIfTrue="1" operator="lessThan">
      <formula>0</formula>
    </cfRule>
  </conditionalFormatting>
  <conditionalFormatting sqref="P11:P14">
    <cfRule type="cellIs" dxfId="427" priority="411" stopIfTrue="1" operator="lessThan">
      <formula>0</formula>
    </cfRule>
  </conditionalFormatting>
  <conditionalFormatting sqref="Q10:T10">
    <cfRule type="cellIs" dxfId="426" priority="410" stopIfTrue="1" operator="lessThan">
      <formula>0</formula>
    </cfRule>
  </conditionalFormatting>
  <conditionalFormatting sqref="Q11:T11">
    <cfRule type="cellIs" dxfId="425" priority="409" stopIfTrue="1" operator="lessThan">
      <formula>0</formula>
    </cfRule>
  </conditionalFormatting>
  <conditionalFormatting sqref="Q13:T14">
    <cfRule type="cellIs" dxfId="424" priority="408" stopIfTrue="1" operator="lessThan">
      <formula>0</formula>
    </cfRule>
  </conditionalFormatting>
  <conditionalFormatting sqref="P18:P19">
    <cfRule type="cellIs" dxfId="423" priority="407" stopIfTrue="1" operator="lessThan">
      <formula>0</formula>
    </cfRule>
  </conditionalFormatting>
  <conditionalFormatting sqref="Q18:T19">
    <cfRule type="cellIs" dxfId="422" priority="406" stopIfTrue="1" operator="lessThan">
      <formula>0</formula>
    </cfRule>
  </conditionalFormatting>
  <conditionalFormatting sqref="U9">
    <cfRule type="cellIs" dxfId="421" priority="405" stopIfTrue="1" operator="lessThan">
      <formula>0</formula>
    </cfRule>
  </conditionalFormatting>
  <conditionalFormatting sqref="U11:U14">
    <cfRule type="cellIs" dxfId="420" priority="404" stopIfTrue="1" operator="lessThan">
      <formula>0</formula>
    </cfRule>
  </conditionalFormatting>
  <conditionalFormatting sqref="V10">
    <cfRule type="cellIs" dxfId="419" priority="403" stopIfTrue="1" operator="lessThan">
      <formula>0</formula>
    </cfRule>
  </conditionalFormatting>
  <conditionalFormatting sqref="V11">
    <cfRule type="cellIs" dxfId="418" priority="402" stopIfTrue="1" operator="lessThan">
      <formula>0</formula>
    </cfRule>
  </conditionalFormatting>
  <conditionalFormatting sqref="V13:V14">
    <cfRule type="cellIs" dxfId="417" priority="401" stopIfTrue="1" operator="lessThan">
      <formula>0</formula>
    </cfRule>
  </conditionalFormatting>
  <conditionalFormatting sqref="U18:U19">
    <cfRule type="cellIs" dxfId="416" priority="400" stopIfTrue="1" operator="lessThan">
      <formula>0</formula>
    </cfRule>
  </conditionalFormatting>
  <conditionalFormatting sqref="V18:V19">
    <cfRule type="cellIs" dxfId="415" priority="399" stopIfTrue="1" operator="lessThan">
      <formula>0</formula>
    </cfRule>
  </conditionalFormatting>
  <conditionalFormatting sqref="W10">
    <cfRule type="cellIs" dxfId="414" priority="398" stopIfTrue="1" operator="lessThan">
      <formula>0</formula>
    </cfRule>
  </conditionalFormatting>
  <conditionalFormatting sqref="W11">
    <cfRule type="cellIs" dxfId="413" priority="397" stopIfTrue="1" operator="lessThan">
      <formula>0</formula>
    </cfRule>
  </conditionalFormatting>
  <conditionalFormatting sqref="W13:W14">
    <cfRule type="cellIs" dxfId="412" priority="396" stopIfTrue="1" operator="lessThan">
      <formula>0</formula>
    </cfRule>
  </conditionalFormatting>
  <conditionalFormatting sqref="W18:W19">
    <cfRule type="cellIs" dxfId="411" priority="395" stopIfTrue="1" operator="lessThan">
      <formula>0</formula>
    </cfRule>
  </conditionalFormatting>
  <conditionalFormatting sqref="X9">
    <cfRule type="cellIs" dxfId="410" priority="394" stopIfTrue="1" operator="lessThan">
      <formula>0</formula>
    </cfRule>
  </conditionalFormatting>
  <conditionalFormatting sqref="X11:X14">
    <cfRule type="cellIs" dxfId="409" priority="393" stopIfTrue="1" operator="lessThan">
      <formula>0</formula>
    </cfRule>
  </conditionalFormatting>
  <conditionalFormatting sqref="Y10">
    <cfRule type="cellIs" dxfId="408" priority="392" stopIfTrue="1" operator="lessThan">
      <formula>0</formula>
    </cfRule>
  </conditionalFormatting>
  <conditionalFormatting sqref="Y11">
    <cfRule type="cellIs" dxfId="407" priority="391" stopIfTrue="1" operator="lessThan">
      <formula>0</formula>
    </cfRule>
  </conditionalFormatting>
  <conditionalFormatting sqref="Y13:Y14">
    <cfRule type="cellIs" dxfId="406" priority="390" stopIfTrue="1" operator="lessThan">
      <formula>0</formula>
    </cfRule>
  </conditionalFormatting>
  <conditionalFormatting sqref="X18:X19">
    <cfRule type="cellIs" dxfId="405" priority="389" stopIfTrue="1" operator="lessThan">
      <formula>0</formula>
    </cfRule>
  </conditionalFormatting>
  <conditionalFormatting sqref="Y18:Y19">
    <cfRule type="cellIs" dxfId="404" priority="388" stopIfTrue="1" operator="lessThan">
      <formula>0</formula>
    </cfRule>
  </conditionalFormatting>
  <conditionalFormatting sqref="Z10">
    <cfRule type="cellIs" dxfId="403" priority="387" stopIfTrue="1" operator="lessThan">
      <formula>0</formula>
    </cfRule>
  </conditionalFormatting>
  <conditionalFormatting sqref="Z11">
    <cfRule type="cellIs" dxfId="402" priority="386" stopIfTrue="1" operator="lessThan">
      <formula>0</formula>
    </cfRule>
  </conditionalFormatting>
  <conditionalFormatting sqref="Z13:Z14">
    <cfRule type="cellIs" dxfId="401" priority="385" stopIfTrue="1" operator="lessThan">
      <formula>0</formula>
    </cfRule>
  </conditionalFormatting>
  <conditionalFormatting sqref="AA9">
    <cfRule type="cellIs" dxfId="400" priority="383" stopIfTrue="1" operator="lessThan">
      <formula>0</formula>
    </cfRule>
  </conditionalFormatting>
  <conditionalFormatting sqref="AB10">
    <cfRule type="cellIs" dxfId="399" priority="381" stopIfTrue="1" operator="lessThan">
      <formula>0</formula>
    </cfRule>
  </conditionalFormatting>
  <conditionalFormatting sqref="AB11">
    <cfRule type="cellIs" dxfId="398" priority="380" stopIfTrue="1" operator="lessThan">
      <formula>0</formula>
    </cfRule>
  </conditionalFormatting>
  <conditionalFormatting sqref="AB13:AB14">
    <cfRule type="cellIs" dxfId="397" priority="379" stopIfTrue="1" operator="lessThan">
      <formula>0</formula>
    </cfRule>
  </conditionalFormatting>
  <conditionalFormatting sqref="AA18:AA19">
    <cfRule type="cellIs" dxfId="396" priority="378" stopIfTrue="1" operator="lessThan">
      <formula>0</formula>
    </cfRule>
  </conditionalFormatting>
  <conditionalFormatting sqref="AB18:AB19">
    <cfRule type="cellIs" dxfId="395" priority="377" stopIfTrue="1" operator="lessThan">
      <formula>0</formula>
    </cfRule>
  </conditionalFormatting>
  <conditionalFormatting sqref="AC10">
    <cfRule type="cellIs" dxfId="394" priority="376" stopIfTrue="1" operator="lessThan">
      <formula>0</formula>
    </cfRule>
  </conditionalFormatting>
  <conditionalFormatting sqref="AC11">
    <cfRule type="cellIs" dxfId="393" priority="375" stopIfTrue="1" operator="lessThan">
      <formula>0</formula>
    </cfRule>
  </conditionalFormatting>
  <conditionalFormatting sqref="AC13:AC14">
    <cfRule type="cellIs" dxfId="392" priority="374" stopIfTrue="1" operator="lessThan">
      <formula>0</formula>
    </cfRule>
  </conditionalFormatting>
  <conditionalFormatting sqref="AC18:AC19">
    <cfRule type="cellIs" dxfId="391" priority="373" stopIfTrue="1" operator="lessThan">
      <formula>0</formula>
    </cfRule>
  </conditionalFormatting>
  <conditionalFormatting sqref="AD9">
    <cfRule type="cellIs" dxfId="390" priority="372" stopIfTrue="1" operator="lessThan">
      <formula>0</formula>
    </cfRule>
  </conditionalFormatting>
  <conditionalFormatting sqref="AD11:AD14">
    <cfRule type="cellIs" dxfId="389" priority="371" stopIfTrue="1" operator="lessThan">
      <formula>0</formula>
    </cfRule>
  </conditionalFormatting>
  <conditionalFormatting sqref="AD18:AD19">
    <cfRule type="cellIs" dxfId="388" priority="370" stopIfTrue="1" operator="lessThan">
      <formula>0</formula>
    </cfRule>
  </conditionalFormatting>
  <conditionalFormatting sqref="AS57">
    <cfRule type="cellIs" dxfId="387" priority="8" stopIfTrue="1" operator="lessThan">
      <formula>0</formula>
    </cfRule>
  </conditionalFormatting>
  <conditionalFormatting sqref="AT57">
    <cfRule type="cellIs" dxfId="386" priority="7" stopIfTrue="1" operator="lessThan">
      <formula>0</formula>
    </cfRule>
  </conditionalFormatting>
  <conditionalFormatting sqref="AI9">
    <cfRule type="cellIs" dxfId="385" priority="366" stopIfTrue="1" operator="lessThan">
      <formula>0</formula>
    </cfRule>
  </conditionalFormatting>
  <conditionalFormatting sqref="AI11:AI14">
    <cfRule type="cellIs" dxfId="384" priority="365" stopIfTrue="1" operator="lessThan">
      <formula>0</formula>
    </cfRule>
  </conditionalFormatting>
  <conditionalFormatting sqref="AI18:AI19">
    <cfRule type="cellIs" dxfId="383" priority="364" stopIfTrue="1" operator="lessThan">
      <formula>0</formula>
    </cfRule>
  </conditionalFormatting>
  <conditionalFormatting sqref="AN9">
    <cfRule type="cellIs" dxfId="382" priority="363" stopIfTrue="1" operator="lessThan">
      <formula>0</formula>
    </cfRule>
  </conditionalFormatting>
  <conditionalFormatting sqref="AN11:AN14">
    <cfRule type="cellIs" dxfId="381" priority="362" stopIfTrue="1" operator="lessThan">
      <formula>0</formula>
    </cfRule>
  </conditionalFormatting>
  <conditionalFormatting sqref="AO10:AR10">
    <cfRule type="cellIs" dxfId="380" priority="361" stopIfTrue="1" operator="lessThan">
      <formula>0</formula>
    </cfRule>
  </conditionalFormatting>
  <conditionalFormatting sqref="AO11:AR11">
    <cfRule type="cellIs" dxfId="379" priority="360" stopIfTrue="1" operator="lessThan">
      <formula>0</formula>
    </cfRule>
  </conditionalFormatting>
  <conditionalFormatting sqref="AO13:AR14">
    <cfRule type="cellIs" dxfId="378" priority="359" stopIfTrue="1" operator="lessThan">
      <formula>0</formula>
    </cfRule>
  </conditionalFormatting>
  <conditionalFormatting sqref="AO18:AR19">
    <cfRule type="cellIs" dxfId="377" priority="357" stopIfTrue="1" operator="lessThan">
      <formula>0</formula>
    </cfRule>
  </conditionalFormatting>
  <conditionalFormatting sqref="AS9">
    <cfRule type="cellIs" dxfId="376" priority="356" stopIfTrue="1" operator="lessThan">
      <formula>0</formula>
    </cfRule>
  </conditionalFormatting>
  <conditionalFormatting sqref="AT9">
    <cfRule type="cellIs" dxfId="375" priority="355" stopIfTrue="1" operator="lessThan">
      <formula>0</formula>
    </cfRule>
  </conditionalFormatting>
  <conditionalFormatting sqref="AU9">
    <cfRule type="cellIs" dxfId="374" priority="354" stopIfTrue="1" operator="lessThan">
      <formula>0</formula>
    </cfRule>
  </conditionalFormatting>
  <conditionalFormatting sqref="AS11">
    <cfRule type="cellIs" dxfId="373" priority="353" stopIfTrue="1" operator="lessThan">
      <formula>0</formula>
    </cfRule>
  </conditionalFormatting>
  <conditionalFormatting sqref="AT11">
    <cfRule type="cellIs" dxfId="372" priority="352" stopIfTrue="1" operator="lessThan">
      <formula>0</formula>
    </cfRule>
  </conditionalFormatting>
  <conditionalFormatting sqref="AU11">
    <cfRule type="cellIs" dxfId="371" priority="351" stopIfTrue="1" operator="lessThan">
      <formula>0</formula>
    </cfRule>
  </conditionalFormatting>
  <conditionalFormatting sqref="AS12">
    <cfRule type="cellIs" dxfId="370" priority="350" stopIfTrue="1" operator="lessThan">
      <formula>0</formula>
    </cfRule>
  </conditionalFormatting>
  <conditionalFormatting sqref="AT12">
    <cfRule type="cellIs" dxfId="369" priority="349" stopIfTrue="1" operator="lessThan">
      <formula>0</formula>
    </cfRule>
  </conditionalFormatting>
  <conditionalFormatting sqref="AU12">
    <cfRule type="cellIs" dxfId="368" priority="348" stopIfTrue="1" operator="lessThan">
      <formula>0</formula>
    </cfRule>
  </conditionalFormatting>
  <conditionalFormatting sqref="AS13">
    <cfRule type="cellIs" dxfId="367" priority="347" stopIfTrue="1" operator="lessThan">
      <formula>0</formula>
    </cfRule>
  </conditionalFormatting>
  <conditionalFormatting sqref="AT13">
    <cfRule type="cellIs" dxfId="366" priority="346" stopIfTrue="1" operator="lessThan">
      <formula>0</formula>
    </cfRule>
  </conditionalFormatting>
  <conditionalFormatting sqref="AU13">
    <cfRule type="cellIs" dxfId="365" priority="345" stopIfTrue="1" operator="lessThan">
      <formula>0</formula>
    </cfRule>
  </conditionalFormatting>
  <conditionalFormatting sqref="AS14">
    <cfRule type="cellIs" dxfId="364" priority="344" stopIfTrue="1" operator="lessThan">
      <formula>0</formula>
    </cfRule>
  </conditionalFormatting>
  <conditionalFormatting sqref="AT14">
    <cfRule type="cellIs" dxfId="363" priority="343" stopIfTrue="1" operator="lessThan">
      <formula>0</formula>
    </cfRule>
  </conditionalFormatting>
  <conditionalFormatting sqref="AU14">
    <cfRule type="cellIs" dxfId="362" priority="342" stopIfTrue="1" operator="lessThan">
      <formula>0</formula>
    </cfRule>
  </conditionalFormatting>
  <conditionalFormatting sqref="AS18">
    <cfRule type="cellIs" dxfId="361" priority="341" stopIfTrue="1" operator="lessThan">
      <formula>0</formula>
    </cfRule>
  </conditionalFormatting>
  <conditionalFormatting sqref="AT18">
    <cfRule type="cellIs" dxfId="360" priority="340" stopIfTrue="1" operator="lessThan">
      <formula>0</formula>
    </cfRule>
  </conditionalFormatting>
  <conditionalFormatting sqref="AU18">
    <cfRule type="cellIs" dxfId="359" priority="339" stopIfTrue="1" operator="lessThan">
      <formula>0</formula>
    </cfRule>
  </conditionalFormatting>
  <conditionalFormatting sqref="AS19">
    <cfRule type="cellIs" dxfId="358" priority="338" stopIfTrue="1" operator="lessThan">
      <formula>0</formula>
    </cfRule>
  </conditionalFormatting>
  <conditionalFormatting sqref="AT19">
    <cfRule type="cellIs" dxfId="357" priority="337" stopIfTrue="1" operator="lessThan">
      <formula>0</formula>
    </cfRule>
  </conditionalFormatting>
  <conditionalFormatting sqref="AU19">
    <cfRule type="cellIs" dxfId="356" priority="336" stopIfTrue="1" operator="lessThan">
      <formula>0</formula>
    </cfRule>
  </conditionalFormatting>
  <conditionalFormatting sqref="J23">
    <cfRule type="cellIs" dxfId="355" priority="335" stopIfTrue="1" operator="lessThan">
      <formula>0</formula>
    </cfRule>
  </conditionalFormatting>
  <conditionalFormatting sqref="J26">
    <cfRule type="cellIs" dxfId="354" priority="334"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E16">
    <cfRule type="cellIs" dxfId="60" priority="2" stopIfTrue="1" operator="lessThan">
      <formula>0</formula>
    </cfRule>
  </conditionalFormatting>
  <conditionalFormatting sqref="K1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27" activePane="bottomRight" state="frozen"/>
      <selection activeCell="B1" sqref="B1"/>
      <selection pane="topRight" activeCell="B1" sqref="B1"/>
      <selection pane="bottomLeft" activeCell="B1" sqref="B1"/>
      <selection pane="bottomRight" activeCell="N45" sqref="N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196290045</v>
      </c>
      <c r="E5" s="454"/>
      <c r="F5" s="454"/>
      <c r="G5" s="448"/>
      <c r="H5" s="402">
        <v>0</v>
      </c>
      <c r="I5" s="403">
        <v>68788944</v>
      </c>
      <c r="J5" s="454"/>
      <c r="K5" s="454"/>
      <c r="L5" s="448"/>
      <c r="M5" s="402">
        <v>0</v>
      </c>
      <c r="N5" s="403">
        <v>21818755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195765007</v>
      </c>
      <c r="E6" s="400">
        <f>'Pt 1 Summary of Data'!E12+'Pt 1 Summary of Data'!E22</f>
        <v>21803023.039999999</v>
      </c>
      <c r="F6" s="400">
        <f>C6+D6+E6</f>
        <v>217568030.03999999</v>
      </c>
      <c r="G6" s="401">
        <f>'Pt 1 Summary of Data'!I12+'Pt 1 Summary of Data'!I22</f>
        <v>21803023.039999999</v>
      </c>
      <c r="H6" s="397">
        <v>0</v>
      </c>
      <c r="I6" s="398">
        <v>69015533</v>
      </c>
      <c r="J6" s="400">
        <f>'Pt 1 Summary of Data'!K12+'Pt 1 Summary of Data'!K22</f>
        <v>11354232.6</v>
      </c>
      <c r="K6" s="400">
        <f>H6+I6+J6</f>
        <v>80369765.599999994</v>
      </c>
      <c r="L6" s="401">
        <f>'Pt 1 Summary of Data'!O12+'Pt 1 Summary of Data'!O22</f>
        <v>11354232.6</v>
      </c>
      <c r="M6" s="397">
        <v>0</v>
      </c>
      <c r="N6" s="398">
        <v>21779812</v>
      </c>
      <c r="O6" s="400">
        <f>'Pt 1 Summary of Data'!Q12+'Pt 1 Summary of Data'!Q22</f>
        <v>2733002.22</v>
      </c>
      <c r="P6" s="400">
        <f t="shared" ref="P6:P7" si="0">M6+N6+O6</f>
        <v>24512814.219999999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4973</v>
      </c>
      <c r="E7" s="400">
        <v>0</v>
      </c>
      <c r="F7" s="400">
        <f t="shared" ref="F7:F11" si="1">C7+D7+E7</f>
        <v>4973</v>
      </c>
      <c r="G7" s="401">
        <v>0</v>
      </c>
      <c r="H7" s="397">
        <v>0</v>
      </c>
      <c r="I7" s="398">
        <v>2860</v>
      </c>
      <c r="J7" s="400">
        <v>0</v>
      </c>
      <c r="K7" s="400">
        <f>H7+I7+J7</f>
        <v>2860</v>
      </c>
      <c r="L7" s="401">
        <v>0</v>
      </c>
      <c r="M7" s="397">
        <v>0</v>
      </c>
      <c r="N7" s="398">
        <v>980</v>
      </c>
      <c r="O7" s="400">
        <v>0</v>
      </c>
      <c r="P7" s="400">
        <f t="shared" si="0"/>
        <v>980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9670101.0500000007</v>
      </c>
      <c r="E8" s="400">
        <f>'Pt 2 Premium and Claims'!E58</f>
        <v>1268644.3700000001</v>
      </c>
      <c r="F8" s="400">
        <f t="shared" si="1"/>
        <v>10938745.420000002</v>
      </c>
      <c r="G8" s="401">
        <f>'Pt 2 Premium and Claims'!I58</f>
        <v>1124500.95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46800413</v>
      </c>
      <c r="E9" s="400">
        <f>'Pt 2 Premium and Claims'!E15</f>
        <v>2008541.46</v>
      </c>
      <c r="F9" s="400">
        <f t="shared" si="1"/>
        <v>48808954.460000001</v>
      </c>
      <c r="G9" s="401">
        <f>'Pt 2 Premium and Claims'!I15</f>
        <v>2008541.46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-3258008</v>
      </c>
      <c r="E10" s="400">
        <f>'Pt 2 Premium and Claims'!E16</f>
        <v>-10205123.789999999</v>
      </c>
      <c r="F10" s="400">
        <f t="shared" si="1"/>
        <v>-13463131.789999999</v>
      </c>
      <c r="G10" s="401">
        <f>'Pt 2 Premium and Claims'!I16</f>
        <v>-10205123.789999999</v>
      </c>
      <c r="H10" s="443"/>
      <c r="I10" s="398">
        <v>-3208840</v>
      </c>
      <c r="J10" s="400">
        <f>'Pt 2 Premium and Claims'!K16</f>
        <v>-7075784.8799999999</v>
      </c>
      <c r="K10" s="400">
        <f t="shared" ref="K10:K11" si="2">H10+I10+J10</f>
        <v>-10284624.879999999</v>
      </c>
      <c r="L10" s="401">
        <f>'Pt 2 Premium and Claims'!O16</f>
        <v>-7075784.8799999999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6436179.9199999999</v>
      </c>
      <c r="E11" s="400">
        <f>'Pt 2 Premium and Claims'!E17</f>
        <v>0</v>
      </c>
      <c r="F11" s="400">
        <f t="shared" si="1"/>
        <v>6436179.9199999999</v>
      </c>
      <c r="G11" s="450"/>
      <c r="H11" s="443"/>
      <c r="I11" s="398">
        <v>2721056.06</v>
      </c>
      <c r="J11" s="400">
        <f>'Pt 2 Premium and Claims'!K17</f>
        <v>0</v>
      </c>
      <c r="K11" s="400">
        <f t="shared" si="2"/>
        <v>2721056.06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0</v>
      </c>
      <c r="D12" s="400">
        <f>D6+D7-D9-D10-D11-D8</f>
        <v>136121294.03</v>
      </c>
      <c r="E12" s="400">
        <f>E6+E7-E9-E10-E11-E8</f>
        <v>28730960.999999996</v>
      </c>
      <c r="F12" s="400">
        <f>F6+F7-F9-F10-F11-F8</f>
        <v>164852255.02999997</v>
      </c>
      <c r="G12" s="447"/>
      <c r="H12" s="399">
        <f>H6+H7</f>
        <v>0</v>
      </c>
      <c r="I12" s="400">
        <f>I6+I7-I9-I10-I11-I8</f>
        <v>69506176.939999998</v>
      </c>
      <c r="J12" s="400">
        <f>J6+J7-J9-J10-J11-J8</f>
        <v>18430017.48</v>
      </c>
      <c r="K12" s="400">
        <f>K6+K7-K9-K10-K11-K8</f>
        <v>87936194.419999987</v>
      </c>
      <c r="L12" s="447"/>
      <c r="M12" s="399">
        <f>M6+M7</f>
        <v>0</v>
      </c>
      <c r="N12" s="400">
        <f t="shared" ref="N12:P12" si="3">N6+N7-N9-N10-N11</f>
        <v>21780792</v>
      </c>
      <c r="O12" s="400">
        <f t="shared" si="3"/>
        <v>2733002.22</v>
      </c>
      <c r="P12" s="400">
        <f t="shared" si="3"/>
        <v>24513794.219999999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0</v>
      </c>
      <c r="D15" s="403">
        <f>189854699-94623198</f>
        <v>95231501</v>
      </c>
      <c r="E15" s="395">
        <f>'Pt 1 Summary of Data'!E5-SUM(E9:E11)</f>
        <v>15877797.059999999</v>
      </c>
      <c r="F15" s="395">
        <f>C15+D15+E15</f>
        <v>111109298.06</v>
      </c>
      <c r="G15" s="396">
        <f>'Pt 1 Summary of Data'!I5-SUM('Pt 3 MLR and Rebate Calculation'!G9:G10)</f>
        <v>15877797.059999999</v>
      </c>
      <c r="H15" s="402">
        <v>0</v>
      </c>
      <c r="I15" s="403">
        <f>73860977-18386843</f>
        <v>55474134</v>
      </c>
      <c r="J15" s="395">
        <f>'Pt 1 Summary of Data'!K5-SUM('Pt 3 MLR and Rebate Calculation'!J10:J11)</f>
        <v>11221543.130000001</v>
      </c>
      <c r="K15" s="395">
        <f t="shared" ref="K15" si="4">H15+I15+J15</f>
        <v>66695677.130000003</v>
      </c>
      <c r="L15" s="396">
        <f>'Pt 1 Summary of Data'!O5-SUM('Pt 3 MLR and Rebate Calculation'!L10)</f>
        <v>11221543.130000001</v>
      </c>
      <c r="M15" s="402">
        <v>0</v>
      </c>
      <c r="N15" s="403">
        <v>19044955</v>
      </c>
      <c r="O15" s="395">
        <f>'Pt 1 Summary of Data'!Q5</f>
        <v>3308540.21</v>
      </c>
      <c r="P15" s="395">
        <f t="shared" ref="P15:P16" si="5">M15+N15+O15</f>
        <v>22353495.210000001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3247085</v>
      </c>
      <c r="E16" s="400">
        <f>SUM('Pt 1 Summary of Data'!E25:E28,'Pt 1 Summary of Data'!E30:E32,'Pt 1 Summary of Data'!E34:E35)</f>
        <v>221931.01</v>
      </c>
      <c r="F16" s="400">
        <f>C16+D16+E16</f>
        <v>3469016.01</v>
      </c>
      <c r="G16" s="401">
        <f>SUM('Pt 1 Summary of Data'!I25:I28,'Pt 1 Summary of Data'!I30:I32,'Pt 1 Summary of Data'!I34:I35)</f>
        <v>221931.01</v>
      </c>
      <c r="H16" s="397">
        <v>0</v>
      </c>
      <c r="I16" s="398">
        <v>1831655</v>
      </c>
      <c r="J16" s="400">
        <f>SUM('Pt 1 Summary of Data'!K25:K28,'Pt 1 Summary of Data'!K30:K32,'Pt 1 Summary of Data'!K34:K35)</f>
        <v>149135.52999999997</v>
      </c>
      <c r="K16" s="400">
        <f>H16+I16+J16</f>
        <v>1980790.53</v>
      </c>
      <c r="L16" s="401">
        <f>SUM('Pt 1 Summary of Data'!O25:O28,'Pt 1 Summary of Data'!O30:O32,'Pt 1 Summary of Data'!O34:O35)</f>
        <v>149135.52999999997</v>
      </c>
      <c r="M16" s="397">
        <v>0</v>
      </c>
      <c r="N16" s="398">
        <v>593776</v>
      </c>
      <c r="O16" s="400">
        <f>SUM('Pt 1 Summary of Data'!Q25:Q28,'Pt 1 Summary of Data'!Q30:Q32,'Pt 1 Summary of Data'!Q34:Q35)</f>
        <v>43365.14</v>
      </c>
      <c r="P16" s="400">
        <f t="shared" si="5"/>
        <v>637141.14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0</v>
      </c>
      <c r="D17" s="400">
        <f t="shared" ref="D17:E17" si="6">D15-D16</f>
        <v>91984416</v>
      </c>
      <c r="E17" s="400">
        <f t="shared" si="6"/>
        <v>15655866.049999999</v>
      </c>
      <c r="F17" s="400">
        <f>F15-F16</f>
        <v>107640282.05</v>
      </c>
      <c r="G17" s="450"/>
      <c r="H17" s="399">
        <f t="shared" ref="H17:J17" si="7">H15-H16</f>
        <v>0</v>
      </c>
      <c r="I17" s="400">
        <f t="shared" si="7"/>
        <v>53642479</v>
      </c>
      <c r="J17" s="400">
        <f t="shared" si="7"/>
        <v>11072407.600000001</v>
      </c>
      <c r="K17" s="400">
        <f>K15-K16</f>
        <v>64714886.600000001</v>
      </c>
      <c r="L17" s="450"/>
      <c r="M17" s="399">
        <f t="shared" ref="M17:P17" si="8">M15-M16</f>
        <v>0</v>
      </c>
      <c r="N17" s="400">
        <f t="shared" si="8"/>
        <v>18451179</v>
      </c>
      <c r="O17" s="400">
        <f t="shared" si="8"/>
        <v>3265175.07</v>
      </c>
      <c r="P17" s="400">
        <f t="shared" si="8"/>
        <v>21716354.07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483">
        <f>G6+G7-G8-G9-G10</f>
        <v>28875104.419999998</v>
      </c>
      <c r="H19" s="455"/>
      <c r="I19" s="454"/>
      <c r="J19" s="454"/>
      <c r="K19" s="454"/>
      <c r="L19" s="396">
        <f>L6+L7-L8-L9-L10</f>
        <v>18430017.48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f>
        <v>4347283.53</v>
      </c>
      <c r="H20" s="443"/>
      <c r="I20" s="441"/>
      <c r="J20" s="441"/>
      <c r="K20" s="441"/>
      <c r="L20" s="401">
        <f>SUM('Pt 1 Summary of Data'!O44:O47,'Pt 1 Summary of Data'!O49:O51)</f>
        <v>3069785.1399999997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G23</f>
        <v>9393.5196299999989</v>
      </c>
      <c r="H21" s="443"/>
      <c r="I21" s="441"/>
      <c r="J21" s="441"/>
      <c r="K21" s="441"/>
      <c r="L21" s="401">
        <f>L23</f>
        <v>6643.4445599999999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-17566521.899999999</v>
      </c>
      <c r="H22" s="443"/>
      <c r="I22" s="441"/>
      <c r="J22" s="441"/>
      <c r="K22" s="441"/>
      <c r="L22" s="401">
        <f>L15-L19-L16-L20</f>
        <v>-10427395.02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71">
        <f>((0.03*0.02)*(G15-G16))</f>
        <v>9393.5196299999989</v>
      </c>
      <c r="H23" s="443"/>
      <c r="I23" s="441"/>
      <c r="J23" s="441"/>
      <c r="K23" s="441"/>
      <c r="L23" s="401">
        <f>((0.03*0.02)*(L15-L16))</f>
        <v>6643.4445599999999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84">
        <f>(0.03*(G15-G16))</f>
        <v>469675.98149999994</v>
      </c>
      <c r="H24" s="443"/>
      <c r="I24" s="441"/>
      <c r="J24" s="441"/>
      <c r="K24" s="441"/>
      <c r="L24" s="484">
        <f>(0.03*(L15-L16))</f>
        <v>332172.22800000006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G27</f>
        <v>3666221.5410000002</v>
      </c>
      <c r="H25" s="443"/>
      <c r="I25" s="441"/>
      <c r="J25" s="441"/>
      <c r="K25" s="441"/>
      <c r="L25" s="471">
        <f>L27</f>
        <v>2585065.202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4578608.05963</v>
      </c>
      <c r="H26" s="443"/>
      <c r="I26" s="441"/>
      <c r="J26" s="441"/>
      <c r="K26" s="441"/>
      <c r="L26" s="471">
        <f>L20+L21+L16</f>
        <v>3225564.1145599997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84">
        <f>((0.2+0.02)*(G15-G16)+G16)</f>
        <v>3666221.5410000002</v>
      </c>
      <c r="H27" s="443"/>
      <c r="I27" s="441"/>
      <c r="J27" s="441"/>
      <c r="K27" s="441"/>
      <c r="L27" s="484">
        <f>((0.2+0.02)*(L15-L16)+L16)</f>
        <v>2585065.202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12211575.518999998</v>
      </c>
      <c r="H28" s="443"/>
      <c r="I28" s="441"/>
      <c r="J28" s="441"/>
      <c r="K28" s="441"/>
      <c r="L28" s="471">
        <f>L15-L25</f>
        <v>8636477.9280000012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G32</f>
        <v>3353104.2199999997</v>
      </c>
      <c r="H29" s="443"/>
      <c r="I29" s="441"/>
      <c r="J29" s="441"/>
      <c r="K29" s="441"/>
      <c r="L29" s="471">
        <f>L32</f>
        <v>2363617.0500000003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G24</f>
        <v>469675.98149999994</v>
      </c>
      <c r="H30" s="443"/>
      <c r="I30" s="441"/>
      <c r="J30" s="441"/>
      <c r="K30" s="441"/>
      <c r="L30" s="471">
        <f>L24</f>
        <v>332172.22800000006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5038890.5214999998</v>
      </c>
      <c r="H31" s="443"/>
      <c r="I31" s="441"/>
      <c r="J31" s="441"/>
      <c r="K31" s="441"/>
      <c r="L31" s="471">
        <f>L20+L30+L16</f>
        <v>3551092.8979999996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84">
        <f>(0.2*(G15-G16)+G16)</f>
        <v>3353104.2199999997</v>
      </c>
      <c r="H32" s="443"/>
      <c r="I32" s="441"/>
      <c r="J32" s="441"/>
      <c r="K32" s="441"/>
      <c r="L32" s="484">
        <f>(0.2*(L15-L16)+L16)</f>
        <v>2363617.0500000003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12524692.84</v>
      </c>
      <c r="H33" s="443"/>
      <c r="I33" s="441"/>
      <c r="J33" s="441"/>
      <c r="K33" s="441"/>
      <c r="L33" s="471">
        <f>L15-L29</f>
        <v>8857926.0800000001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2.3054540968686941</v>
      </c>
      <c r="H34" s="462"/>
      <c r="I34" s="463"/>
      <c r="J34" s="463"/>
      <c r="K34" s="463"/>
      <c r="L34" s="469">
        <f>L19/L33</f>
        <v>2.0806244388980044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12591866</v>
      </c>
      <c r="H35" s="443"/>
      <c r="I35" s="441"/>
      <c r="J35" s="441"/>
      <c r="K35" s="441"/>
      <c r="L35" s="477">
        <v>7312214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12591866</v>
      </c>
      <c r="H36" s="443"/>
      <c r="I36" s="441"/>
      <c r="J36" s="441"/>
      <c r="K36" s="441"/>
      <c r="L36" s="478">
        <v>7312214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26633</v>
      </c>
      <c r="E38" s="432">
        <f>'Pt 1 Summary of Data'!E60</f>
        <v>4495.166666666667</v>
      </c>
      <c r="F38" s="432">
        <f>SUM(C38:E38)</f>
        <v>31128.166666666668</v>
      </c>
      <c r="G38" s="448"/>
      <c r="H38" s="404">
        <v>0</v>
      </c>
      <c r="I38" s="405">
        <v>14708</v>
      </c>
      <c r="J38" s="432">
        <f>'Pt 1 Summary of Data'!K60</f>
        <v>2829.5</v>
      </c>
      <c r="K38" s="432">
        <f>SUM(H38:J38)</f>
        <v>17537.5</v>
      </c>
      <c r="L38" s="448"/>
      <c r="M38" s="404">
        <v>0</v>
      </c>
      <c r="N38" s="405">
        <v>4413</v>
      </c>
      <c r="O38" s="432">
        <f>'Pt 1 Summary of Data'!Q60</f>
        <v>708.25</v>
      </c>
      <c r="P38" s="432">
        <f>SUM(M38:O38)</f>
        <v>5121.25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0.016-(F38-25000)/25000*0.01</f>
        <v>1.3548733333333333E-2</v>
      </c>
      <c r="G39" s="461"/>
      <c r="H39" s="459"/>
      <c r="I39" s="460"/>
      <c r="J39" s="460"/>
      <c r="K39" s="439">
        <f>0.026-(K38-10000)/15000*0.01</f>
        <v>2.0975000000000001E-2</v>
      </c>
      <c r="L39" s="461"/>
      <c r="M39" s="459"/>
      <c r="N39" s="460"/>
      <c r="O39" s="460"/>
      <c r="P39" s="439">
        <f>0.037-(P38-5000)/5000*0.01</f>
        <v>3.6757499999999999E-2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85">
        <v>1</v>
      </c>
      <c r="G41" s="447"/>
      <c r="H41" s="443"/>
      <c r="I41" s="441"/>
      <c r="J41" s="441"/>
      <c r="K41" s="485">
        <v>1</v>
      </c>
      <c r="L41" s="447"/>
      <c r="M41" s="443"/>
      <c r="N41" s="441"/>
      <c r="O41" s="441"/>
      <c r="P41" s="485">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86">
        <f>F39*F41</f>
        <v>1.3548733333333333E-2</v>
      </c>
      <c r="G42" s="447"/>
      <c r="H42" s="443"/>
      <c r="I42" s="441"/>
      <c r="J42" s="441"/>
      <c r="K42" s="486">
        <f>K39*K41</f>
        <v>2.0975000000000001E-2</v>
      </c>
      <c r="L42" s="447"/>
      <c r="M42" s="443"/>
      <c r="N42" s="441"/>
      <c r="O42" s="441"/>
      <c r="P42" s="486">
        <f>P39*P41</f>
        <v>3.6757499999999999E-2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v>
      </c>
      <c r="D45" s="436">
        <f t="shared" ref="D45:F45" si="9">D12/D17</f>
        <v>1.4798299532607784</v>
      </c>
      <c r="E45" s="436">
        <f t="shared" si="9"/>
        <v>1.8351562863556818</v>
      </c>
      <c r="F45" s="436">
        <f t="shared" si="9"/>
        <v>1.5315108051595818</v>
      </c>
      <c r="G45" s="447"/>
      <c r="H45" s="438">
        <v>0</v>
      </c>
      <c r="I45" s="436">
        <f t="shared" ref="I45:K45" si="10">I12/I17</f>
        <v>1.2957301421509622</v>
      </c>
      <c r="J45" s="436">
        <f t="shared" si="10"/>
        <v>1.6644995511184033</v>
      </c>
      <c r="K45" s="436">
        <f t="shared" si="10"/>
        <v>1.3588248243951955</v>
      </c>
      <c r="L45" s="447"/>
      <c r="M45" s="438">
        <v>0</v>
      </c>
      <c r="N45" s="436">
        <f t="shared" ref="N45:P45" si="11">N12/N17</f>
        <v>1.1804552977346325</v>
      </c>
      <c r="O45" s="436">
        <f t="shared" si="11"/>
        <v>0.83701552333608875</v>
      </c>
      <c r="P45" s="436">
        <f t="shared" si="11"/>
        <v>1.1288172103375544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1.3548733333333333E-2</v>
      </c>
      <c r="G47" s="447"/>
      <c r="H47" s="443"/>
      <c r="I47" s="441"/>
      <c r="J47" s="441"/>
      <c r="K47" s="436">
        <f>K42</f>
        <v>2.0975000000000001E-2</v>
      </c>
      <c r="L47" s="447"/>
      <c r="M47" s="443"/>
      <c r="N47" s="441"/>
      <c r="O47" s="441"/>
      <c r="P47" s="436">
        <f>P42</f>
        <v>3.6757499999999999E-2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87">
        <f>ROUND(F45+F47,3)</f>
        <v>1.5449999999999999</v>
      </c>
      <c r="G48" s="447"/>
      <c r="H48" s="443"/>
      <c r="I48" s="441"/>
      <c r="J48" s="441"/>
      <c r="K48" s="487">
        <f>ROUND(K45+K47,3)</f>
        <v>1.38</v>
      </c>
      <c r="L48" s="447"/>
      <c r="M48" s="443"/>
      <c r="N48" s="441"/>
      <c r="O48" s="441"/>
      <c r="P48" s="487">
        <f>ROUND(P45+P47,3)</f>
        <v>1.1659999999999999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v>
      </c>
      <c r="D50" s="407">
        <v>0.8</v>
      </c>
      <c r="E50" s="407">
        <v>0.8</v>
      </c>
      <c r="F50" s="407">
        <v>0.8</v>
      </c>
      <c r="G50" s="448"/>
      <c r="H50" s="406">
        <v>0</v>
      </c>
      <c r="I50" s="407">
        <v>0.8</v>
      </c>
      <c r="J50" s="407">
        <v>0.8</v>
      </c>
      <c r="K50" s="407">
        <v>0.8</v>
      </c>
      <c r="L50" s="448"/>
      <c r="M50" s="406">
        <v>0</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1.5449999999999999</v>
      </c>
      <c r="G51" s="447"/>
      <c r="H51" s="444"/>
      <c r="I51" s="442"/>
      <c r="J51" s="442"/>
      <c r="K51" s="436">
        <f>K48</f>
        <v>1.38</v>
      </c>
      <c r="L51" s="447"/>
      <c r="M51" s="444"/>
      <c r="N51" s="442"/>
      <c r="O51" s="442"/>
      <c r="P51" s="436">
        <f>P48</f>
        <v>1.1659999999999999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15655866.049999999</v>
      </c>
      <c r="G52" s="447"/>
      <c r="H52" s="443"/>
      <c r="I52" s="441"/>
      <c r="J52" s="441"/>
      <c r="K52" s="400">
        <f>J15-J16</f>
        <v>11072407.600000001</v>
      </c>
      <c r="L52" s="447"/>
      <c r="M52" s="443"/>
      <c r="N52" s="441"/>
      <c r="O52" s="441"/>
      <c r="P52" s="400">
        <f>O15-O16</f>
        <v>3265175.07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Data'!D56</f>
        <v>0</v>
      </c>
      <c r="D4" s="104">
        <f>'Pt 1 Summary of Data'!J56</f>
        <v>0</v>
      </c>
      <c r="E4" s="104">
        <f>'Pt 1 Summary of Data'!P56</f>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ht="14.25" thickTop="1" thickBot="1" x14ac:dyDescent="0.25">
      <c r="B16" s="123" t="s">
        <v>206</v>
      </c>
      <c r="C16" s="98">
        <v>0</v>
      </c>
      <c r="D16" s="98">
        <v>0</v>
      </c>
      <c r="E16" s="98">
        <v>0</v>
      </c>
      <c r="F16" s="99"/>
      <c r="G16" s="99"/>
      <c r="H16" s="99"/>
      <c r="I16" s="178"/>
      <c r="J16" s="178"/>
      <c r="K16" s="186"/>
    </row>
    <row r="17" spans="2:12" s="5" customFormat="1" ht="13.5" thickTop="1" x14ac:dyDescent="0.2">
      <c r="B17" s="124" t="s">
        <v>203</v>
      </c>
      <c r="C17" s="98">
        <v>0</v>
      </c>
      <c r="D17" s="98">
        <v>0</v>
      </c>
      <c r="E17" s="98">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8"/>
      <c r="D23" s="489"/>
      <c r="E23" s="489"/>
      <c r="F23" s="489"/>
      <c r="G23" s="489"/>
      <c r="H23" s="489"/>
      <c r="I23" s="489"/>
      <c r="J23" s="489"/>
      <c r="K23" s="490"/>
    </row>
    <row r="24" spans="2:12" s="5" customFormat="1" ht="100.15" customHeight="1" x14ac:dyDescent="0.2">
      <c r="B24" s="90" t="s">
        <v>213</v>
      </c>
      <c r="C24" s="491"/>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Molly Timlin</cp:lastModifiedBy>
  <cp:lastPrinted>2014-12-18T11:24:00Z</cp:lastPrinted>
  <dcterms:created xsi:type="dcterms:W3CDTF">2012-03-15T16:14:51Z</dcterms:created>
  <dcterms:modified xsi:type="dcterms:W3CDTF">2016-08-01T19:25:11Z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