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For Alisa\3rs\Jordan Work\MLR Values\"/>
    </mc:Choice>
  </mc:AlternateContent>
  <workbookProtection workbookPassword="D429" lockStructure="1"/>
  <bookViews>
    <workbookView xWindow="0" yWindow="0" windowWidth="24000" windowHeight="88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L10" i="10" l="1"/>
  <c r="G10" i="10"/>
  <c r="P46" i="10" l="1"/>
  <c r="P41" i="10"/>
  <c r="N17" i="10"/>
  <c r="M17" i="10"/>
  <c r="N12" i="10"/>
  <c r="M12" i="10"/>
  <c r="K46" i="10"/>
  <c r="K41" i="10"/>
  <c r="F46" i="10"/>
  <c r="F41" i="10"/>
  <c r="G35" i="10"/>
  <c r="G34" i="10"/>
  <c r="L35" i="10" l="1"/>
  <c r="L34" i="10"/>
  <c r="H11" i="16" l="1"/>
  <c r="G11" i="16"/>
  <c r="F11" i="16"/>
  <c r="I17" i="10" l="1"/>
  <c r="H17" i="10"/>
  <c r="I12" i="10"/>
  <c r="H12" i="10"/>
  <c r="D17" i="10"/>
  <c r="C17" i="10"/>
  <c r="D12" i="10"/>
  <c r="C12" i="10"/>
  <c r="AV60" i="4" l="1"/>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55" i="18"/>
  <c r="AU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AT55" i="18"/>
  <c r="AT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G9" i="10"/>
  <c r="J37" i="10" l="1"/>
  <c r="K37" i="10" s="1"/>
  <c r="K10" i="10"/>
  <c r="J10" i="10"/>
  <c r="E37" i="10"/>
  <c r="F37" i="10" s="1"/>
  <c r="L20" i="10"/>
  <c r="O16" i="10"/>
  <c r="P16" i="10" s="1"/>
  <c r="O37" i="10"/>
  <c r="P37" i="10" s="1"/>
  <c r="G20" i="10"/>
  <c r="E10" i="10"/>
  <c r="F10" i="10"/>
  <c r="F5" i="4"/>
  <c r="P5" i="4"/>
  <c r="M54" i="18"/>
  <c r="M12" i="4" s="1"/>
  <c r="E54" i="18"/>
  <c r="E12" i="4" s="1"/>
  <c r="G54" i="18"/>
  <c r="G12" i="4" s="1"/>
  <c r="D5" i="4"/>
  <c r="V5" i="4"/>
  <c r="AT5" i="4"/>
  <c r="K54" i="18"/>
  <c r="K12" i="4" s="1"/>
  <c r="N5" i="4"/>
  <c r="W5" i="4"/>
  <c r="AU5" i="4"/>
  <c r="D54" i="18"/>
  <c r="D12" i="4" s="1"/>
  <c r="L54" i="18"/>
  <c r="L12" i="4" s="1"/>
  <c r="G7" i="10"/>
  <c r="I5" i="4"/>
  <c r="G15" i="10" s="1"/>
  <c r="H5" i="4"/>
  <c r="I54" i="18"/>
  <c r="I12" i="4" s="1"/>
  <c r="G6" i="10" s="1"/>
  <c r="J54" i="18"/>
  <c r="J12" i="4" s="1"/>
  <c r="N54" i="18"/>
  <c r="N12" i="4" s="1"/>
  <c r="O54" i="18"/>
  <c r="O12" i="4" s="1"/>
  <c r="L6" i="10" s="1"/>
  <c r="S5" i="4"/>
  <c r="AA5" i="4"/>
  <c r="G5" i="4"/>
  <c r="M5" i="4"/>
  <c r="F54" i="18"/>
  <c r="F12" i="4" s="1"/>
  <c r="L16" i="10"/>
  <c r="V54" i="18"/>
  <c r="V12" i="4" s="1"/>
  <c r="H54" i="18"/>
  <c r="H12" i="4" s="1"/>
  <c r="J7" i="10"/>
  <c r="K7" i="10" s="1"/>
  <c r="O7" i="10"/>
  <c r="P7" i="10" s="1"/>
  <c r="Q5" i="4"/>
  <c r="Y5" i="4"/>
  <c r="F9" i="10"/>
  <c r="E9" i="10"/>
  <c r="G16" i="10"/>
  <c r="R5" i="4"/>
  <c r="Z5" i="4"/>
  <c r="J16" i="10"/>
  <c r="K16" i="10" s="1"/>
  <c r="E7" i="10"/>
  <c r="F7" i="10" s="1"/>
  <c r="T5" i="4"/>
  <c r="X5" i="4"/>
  <c r="J5" i="4"/>
  <c r="AB5" i="4"/>
  <c r="L7" i="10"/>
  <c r="L5" i="4"/>
  <c r="U5" i="4"/>
  <c r="AC5" i="4"/>
  <c r="AS5" i="4"/>
  <c r="X54" i="18"/>
  <c r="X12" i="4" s="1"/>
  <c r="Y54" i="18"/>
  <c r="Y12" i="4" s="1"/>
  <c r="E16" i="10"/>
  <c r="F16" i="10" s="1"/>
  <c r="AT54" i="18"/>
  <c r="AT12" i="4" s="1"/>
  <c r="AU54" i="18"/>
  <c r="AU12" i="4" s="1"/>
  <c r="AS54" i="18"/>
  <c r="AS12" i="4" s="1"/>
  <c r="AC54" i="18"/>
  <c r="AC12" i="4" s="1"/>
  <c r="AA54" i="18"/>
  <c r="AA12" i="4" s="1"/>
  <c r="AB54" i="18"/>
  <c r="AB12" i="4" s="1"/>
  <c r="Z54" i="18"/>
  <c r="Z12" i="4" s="1"/>
  <c r="U54" i="18"/>
  <c r="U12" i="4" s="1"/>
  <c r="W54" i="18"/>
  <c r="W12" i="4" s="1"/>
  <c r="R54" i="18"/>
  <c r="R12" i="4" s="1"/>
  <c r="S54" i="18"/>
  <c r="S12" i="4" s="1"/>
  <c r="P54" i="18"/>
  <c r="P12" i="4" s="1"/>
  <c r="T54" i="18"/>
  <c r="T12" i="4" s="1"/>
  <c r="Q54" i="18"/>
  <c r="Q12" i="4" s="1"/>
  <c r="L19" i="10" l="1"/>
  <c r="G19" i="10"/>
  <c r="G21" i="10" s="1"/>
  <c r="O15" i="10"/>
  <c r="G25" i="10"/>
  <c r="G29" i="10"/>
  <c r="G28" i="10"/>
  <c r="E6" i="10"/>
  <c r="F6" i="10" s="1"/>
  <c r="J6" i="10"/>
  <c r="K6" i="10" s="1"/>
  <c r="O6" i="10"/>
  <c r="O5" i="4"/>
  <c r="L15" i="10" s="1"/>
  <c r="G24" i="10" l="1"/>
  <c r="G23" i="10" s="1"/>
  <c r="G27" i="10" s="1"/>
  <c r="P6" i="10"/>
  <c r="O44" i="10"/>
  <c r="O12" i="10"/>
  <c r="P12" i="10" s="1"/>
  <c r="P15" i="10"/>
  <c r="P17" i="10" s="1"/>
  <c r="P51" i="10"/>
  <c r="O17" i="10"/>
  <c r="L29" i="10"/>
  <c r="L28" i="10"/>
  <c r="L25" i="10"/>
  <c r="L24" i="10"/>
  <c r="L21" i="10"/>
  <c r="P44" i="10" l="1"/>
  <c r="P47" i="10" s="1"/>
  <c r="P50" i="10" s="1"/>
  <c r="P52" i="10" s="1"/>
  <c r="E11" i="16" s="1"/>
  <c r="G26" i="10"/>
  <c r="G30" i="10" s="1"/>
  <c r="G31" i="10"/>
  <c r="G32" i="10" s="1"/>
  <c r="G33" i="10" s="1"/>
  <c r="L23" i="10"/>
  <c r="L27" i="10" s="1"/>
  <c r="L26" i="10" l="1"/>
  <c r="L30" i="10" s="1"/>
  <c r="L31" i="10"/>
  <c r="L32" i="10" s="1"/>
  <c r="L33" i="10" s="1"/>
  <c r="E5" i="4" l="1"/>
  <c r="E11" i="10"/>
  <c r="F11" i="10" l="1"/>
  <c r="E12" i="10"/>
  <c r="F12" i="10" s="1"/>
  <c r="E15" i="10"/>
  <c r="E44" i="10" l="1"/>
  <c r="E17" i="10"/>
  <c r="F15" i="10"/>
  <c r="J11" i="10" l="1"/>
  <c r="K5" i="4"/>
  <c r="J15" i="10" s="1"/>
  <c r="F17" i="10"/>
  <c r="F44" i="10" s="1"/>
  <c r="F47" i="10" s="1"/>
  <c r="F50" i="10" s="1"/>
  <c r="F52" i="10" s="1"/>
  <c r="C11" i="16" s="1"/>
  <c r="F51" i="10"/>
  <c r="K51" i="10" l="1"/>
  <c r="J17" i="10"/>
  <c r="K15" i="10"/>
  <c r="K17" i="10" s="1"/>
  <c r="K11" i="10"/>
  <c r="J12" i="10"/>
  <c r="K12" i="10" s="1"/>
  <c r="J44" i="10"/>
  <c r="K44" i="10" l="1"/>
  <c r="K47" i="10" s="1"/>
  <c r="K50" i="10" s="1"/>
  <c r="K52" i="10" s="1"/>
  <c r="D11" i="16" s="1"/>
</calcChain>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<sst xmlns="http://schemas.openxmlformats.org/spreadsheetml/2006/main" count="565" uniqueCount="502">
  <si>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</si>
  <si>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</si>
  <si>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</si>
  <si>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</si>
  <si>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</si>
  <si>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</si>
  <si>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</si>
  <si>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</si>
  <si>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</si>
  <si>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</si>
  <si>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</si>
  <si>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</si>
  <si>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</si>
  <si>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</si>
  <si>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</si>
  <si>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</si>
  <si>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</si>
  <si>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</si>
  <si>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</si>
  <si>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</si>
  <si>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</si>
  <si>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</si>
  <si>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</si>
  <si>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</si>
  <si>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</si>
  <si>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</si>
  <si>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</si>
  <si>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</si>
  <si>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</si>
  <si>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</si>
  <si>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</si>
  <si>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</si>
  <si>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</si>
  <si>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</si>
  <si>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</si>
  <si>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</si>
  <si>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</si>
  <si>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</si>
  <si>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</si>
  <si>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</si>
  <si>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</si>
  <si>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</si>
  <si>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</si>
  <si>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</si>
  <si>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</si>
  <si>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</si>
  <si>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</si>
  <si>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</si>
  <si>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</si>
  <si>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</si>
  <si>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</si>
  <si>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</si>
  <si>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</si>
  <si>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</si>
  <si>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</si>
  <si>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</si>
  <si>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</si>
  <si>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</si>
  <si>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</si>
  <si>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</si>
  <si>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</si>
  <si>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</si>
  <si>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</si>
  <si>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</si>
  <si>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</si>
  <si>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</si>
  <si>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</si>
  <si>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</si>
  <si>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</si>
  <si>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</si>
  <si>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</si>
  <si>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</si>
  <si>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</si>
  <si>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</si>
  <si>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</si>
  <si>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</si>
  <si>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</si>
  <si>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</si>
  <si>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</si>
  <si>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</si>
  <si>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</si>
  <si>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</si>
  <si>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</si>
  <si>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</si>
  <si>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</si>
  <si>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</si>
  <si>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</si>
  <si>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</si>
  <si>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</si>
  <si>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</si>
  <si>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</si>
  <si>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</si>
  <si>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</si>
  <si>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</si>
  <si>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</si>
  <si>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</si>
  <si>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</si>
  <si>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</si>
  <si>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</si>
  <si>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</si>
  <si>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</si>
  <si>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</si>
  <si>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</si>
  <si>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</si>
  <si>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</si>
  <si>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</si>
  <si>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</si>
  <si>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</si>
  <si>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</si>
  <si>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</si>
  <si>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</si>
  <si>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</si>
  <si>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</si>
  <si>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</si>
  <si>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</si>
  <si>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</si>
  <si>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</si>
  <si>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</si>
  <si>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</si>
  <si>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</si>
  <si>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</si>
  <si>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</si>
  <si>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</si>
  <si>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</si>
  <si>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</si>
  <si>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</si>
  <si>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</si>
  <si>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</si>
  <si>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</si>
  <si>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</si>
  <si>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</si>
  <si>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</si>
  <si>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</si>
  <si>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</si>
  <si>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</si>
  <si>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</si>
  <si>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</si>
  <si>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</si>
  <si>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</si>
  <si>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</si>
  <si>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</si>
  <si>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</si>
  <si>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</si>
  <si>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</si>
  <si>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</si>
  <si>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</si>
  <si>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</si>
  <si>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</si>
  <si>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</si>
  <si>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</si>
  <si>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</si>
  <si>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</si>
  <si>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</si>
  <si>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</si>
  <si>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</si>
  <si>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</si>
  <si>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</si>
  <si>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</si>
  <si>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</si>
  <si>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</si>
  <si>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</si>
  <si>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</si>
  <si>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</si>
  <si>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</si>
  <si>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</si>
  <si>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</si>
  <si>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</si>
  <si>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</si>
  <si>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</si>
  <si>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</si>
  <si>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</si>
  <si>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</si>
  <si>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</si>
  <si>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</si>
  <si>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</si>
  <si>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</si>
  <si>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</si>
  <si>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</si>
  <si>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</si>
  <si>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</si>
  <si>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</si>
  <si>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</si>
  <si>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</si>
  <si>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</si>
  <si>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</si>
  <si>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</si>
  <si>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</si>
  <si>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</si>
  <si>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</si>
  <si>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</si>
  <si>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</si>
  <si>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</si>
  <si>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</si>
  <si>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</si>
  <si>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</si>
  <si>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</si>
  <si>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</si>
  <si>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</si>
  <si>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</si>
  <si>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</si>
  <si>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</si>
  <si>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</si>
  <si>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</si>
  <si>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</si>
  <si>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</si>
  <si>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</si>
  <si>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</si>
  <si>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</si>
  <si>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</si>
  <si>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</si>
  <si>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</si>
  <si>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</si>
  <si>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</si>
  <si>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</si>
  <si>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</si>
  <si>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</si>
  <si>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</si>
  <si>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</si>
  <si>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</si>
  <si>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</si>
  <si>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</si>
  <si>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</si>
  <si>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</si>
  <si>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</si>
  <si>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</si>
  <si>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</si>
  <si>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</si>
  <si>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</si>
  <si>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</si>
  <si>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</si>
  <si>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</si>
  <si>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</si>
  <si>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</si>
  <si>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</si>
  <si>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</si>
  <si>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</si>
  <si>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</si>
  <si>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</si>
  <si>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</si>
  <si>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</si>
  <si>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</si>
  <si>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</si>
  <si>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</si>
  <si>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</si>
  <si>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</si>
  <si>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</si>
  <si>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</si>
  <si>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</si>
  <si>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</si>
  <si>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</si>
  <si>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</si>
  <si>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</si>
  <si>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</si>
  <si>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</si>
  <si>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</si>
  <si>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</si>
  <si>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</si>
  <si>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</si>
  <si>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</si>
  <si>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</si>
  <si>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</si>
  <si>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</si>
  <si>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</si>
  <si>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</si>
  <si>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</si>
  <si>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</si>
  <si>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</si>
  <si>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</si>
  <si>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</si>
  <si>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</si>
  <si>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</si>
  <si>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</si>
  <si>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</si>
  <si>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</si>
  <si>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</si>
  <si>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</si>
  <si>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</si>
  <si>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</si>
  <si>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</si>
  <si>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</si>
  <si>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</si>
  <si>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</si>
  <si>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</si>
  <si>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</si>
  <si>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</si>
  <si>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</si>
  <si>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</si>
  <si>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</si>
  <si>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</si>
  <si>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</si>
  <si>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</si>
  <si>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</si>
  <si>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</si>
  <si>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</si>
  <si>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</si>
  <si>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</si>
  <si>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</si>
  <si>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</si>
  <si>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</si>
  <si>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</si>
  <si>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</si>
  <si>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</si>
  <si>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</si>
  <si>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</si>
  <si>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</si>
  <si>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</si>
  <si>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</si>
  <si>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</si>
  <si>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</si>
  <si>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</si>
  <si>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</si>
  <si>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</si>
  <si>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</si>
  <si>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</si>
  <si>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</si>
  <si>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</si>
  <si>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</si>
  <si>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</si>
  <si>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</si>
  <si>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</si>
  <si>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</si>
  <si>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</si>
  <si>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</si>
  <si>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</si>
  <si>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</si>
  <si>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</si>
  <si>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</si>
  <si>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</si>
  <si>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</si>
  <si>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</si>
  <si>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</si>
  <si>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</si>
  <si>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</si>
  <si>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</si>
  <si>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</si>
  <si>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</si>
  <si>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</si>
  <si>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</si>
  <si>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</si>
  <si>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</si>
  <si>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</si>
  <si>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</si>
  <si>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</si>
  <si>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</si>
  <si>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</si>
  <si>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</si>
  <si>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</si>
  <si>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</si>
  <si>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</si>
  <si>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</si>
  <si>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</si>
  <si>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</si>
  <si>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</si>
  <si>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</si>
  <si>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</si>
  <si>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</si>
  <si>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</si>
  <si>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</si>
  <si>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</si>
  <si>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</si>
  <si>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</si>
  <si>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</si>
  <si>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</si>
  <si>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</si>
  <si>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</si>
  <si>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</si>
  <si>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</si>
  <si>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</si>
  <si>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</si>
  <si>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</si>
  <si>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</si>
  <si>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</si>
  <si>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</si>
  <si>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</si>
  <si>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</si>
  <si>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</si>
  <si>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</si>
  <si>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</si>
  <si>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</si>
  <si>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</si>
  <si>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</si>
  <si>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</si>
  <si>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</si>
  <si>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</si>
  <si>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</si>
  <si>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</si>
  <si>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</si>
  <si>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</si>
  <si>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</si>
  <si>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</si>
  <si>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</si>
  <si>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</si>
  <si>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</si>
  <si>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</si>
  <si>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</si>
  <si>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</si>
  <si>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</si>
  <si>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</si>
  <si>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</si>
  <si>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</si>
  <si>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</si>
  <si>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</si>
  <si>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</si>
  <si>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</si>
  <si>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</si>
  <si>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</si>
  <si>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</si>
  <si>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</si>
  <si>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</si>
  <si>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</si>
  <si>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</si>
  <si>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</si>
  <si>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</si>
  <si>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</si>
  <si>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</si>
  <si>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</si>
  <si>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</si>
  <si>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</si>
  <si>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</si>
  <si>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</si>
  <si>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</si>
  <si>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</si>
  <si>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</si>
  <si>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</si>
  <si>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</si>
  <si>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</si>
  <si>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</si>
  <si>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</si>
  <si>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</si>
  <si>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</si>
  <si>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</si>
  <si>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</si>
  <si>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</si>
  <si>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</si>
  <si>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</si>
  <si>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</si>
  <si>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</si>
  <si>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</si>
  <si>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</si>
  <si>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</si>
  <si>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</si>
  <si>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</si>
  <si>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</si>
  <si>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</si>
  <si>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</si>
  <si>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</si>
  <si>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</si>
  <si>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</si>
  <si>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</si>
  <si>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</si>
  <si>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</si>
  <si>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</si>
  <si>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</si>
  <si>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</si>
  <si>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</si>
  <si>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</si>
  <si>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</si>
  <si>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</si>
  <si>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</si>
  <si>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</si>
  <si>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</si>
  <si>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</si>
  <si>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</si>
  <si>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</si>
  <si>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</si>
  <si>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</si>
  <si>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</si>
  <si>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</si>
  <si>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</si>
  <si>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</si>
  <si>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</si>
  <si>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</si>
  <si>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</si>
  <si>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</si>
  <si>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</si>
  <si>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</si>
  <si>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</si>
  <si>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</si>
  <si>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</si>
  <si>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</si>
  <si>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</si>
  <si>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</si>
  <si>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</si>
  <si>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</si>
  <si>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</si>
  <si>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</si>
  <si>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</si>
  <si>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</si>
  <si>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</si>
  <si>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</si>
  <si>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</si>
  <si>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</si>
  <si>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</si>
  <si>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</si>
  <si>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MetroPlus Health Plan</t>
  </si>
  <si>
    <t>2014</t>
  </si>
  <si>
    <t>160 Water Street, 3rd Floor New York, NY 10038</t>
  </si>
  <si>
    <t>134115686</t>
  </si>
  <si>
    <t>95546</t>
  </si>
  <si>
    <t>11177</t>
  </si>
  <si>
    <t>633</t>
  </si>
  <si>
    <t>This does not apply to MetroPlus.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</si>
</sst>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44" fontId="0" fillId="0" borderId="16"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20Alisa/3rs/MLR_RC_Template_NY_201507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12">
          <cell r="D12">
            <v>8754733.0581641831</v>
          </cell>
          <cell r="E12">
            <v>0</v>
          </cell>
        </row>
        <row r="13">
          <cell r="D13">
            <v>8754733.0581641812</v>
          </cell>
          <cell r="E13">
            <v>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175</v>
      </c>
    </row>
    <row r="13" spans="1:6" x14ac:dyDescent="0.2">
      <c r="B13" s="232" t="s">
        <v>50</v>
      </c>
      <c r="C13" s="378" t="s">
        <v>175</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97632745</v>
      </c>
      <c r="E5" s="106">
        <f>+'Pt 2 Premium and Claims'!E5+'Pt 2 Premium and Claims'!E6-'Pt 2 Premium and Claims'!E7-'Pt 2 Premium and Claims'!E13+'Pt 2 Premium and Claims'!E14+'Pt 2 Premium and Claims'!E15+'Pt 2 Premium and Claims'!E16+'Pt 2 Premium and Claims'!E17</f>
        <v>101544163.50816417</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92789430.449999988</v>
      </c>
      <c r="J5" s="105">
        <f>+'Pt 2 Premium and Claims'!J5+'Pt 2 Premium and Claims'!J6-'Pt 2 Premium and Claims'!J7-'Pt 2 Premium and Claims'!J13+'Pt 2 Premium and Claims'!J14+'Pt 2 Premium and Claims'!J15+'Pt 2 Premium and Claims'!J16+'Pt 2 Premium and Claims'!J17</f>
        <v>1433802</v>
      </c>
      <c r="K5" s="106">
        <f>+'Pt 2 Premium and Claims'!K5+'Pt 2 Premium and Claims'!K6-'Pt 2 Premium and Claims'!K7-'Pt 2 Premium and Claims'!K13+'Pt 2 Premium and Claims'!K14+'Pt 2 Premium and Claims'!K15+'Pt 2 Premium and Claims'!K16+'Pt 2 Premium and Claims'!K17</f>
        <v>1522814.2600000002</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1522814.2600000002</v>
      </c>
      <c r="P5" s="105">
        <f>+'Pt 2 Premium and Claims'!P5+'Pt 2 Premium and Claims'!P6-'Pt 2 Premium and Claims'!P7-'Pt 2 Premium and Claims'!P13+'Pt 2 Premium and Claims'!P14+'Pt 2 Premium and Claims'!P15+'Pt 2 Premium and Claims'!P16+'Pt 2 Premium and Claims'!P17</f>
        <v>19503269</v>
      </c>
      <c r="Q5" s="106">
        <f>+'Pt 2 Premium and Claims'!Q5+'Pt 2 Premium and Claims'!Q6-'Pt 2 Premium and Claims'!Q7-'Pt 2 Premium and Claims'!Q13+'Pt 2 Premium and Claims'!Q14+'Pt 2 Premium and Claims'!Q15+'Pt 2 Premium and Claims'!Q16+'Pt 2 Premium and Claims'!Q17</f>
        <v>19503269</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f>+'Pt 2 Premium and Claims'!U5+'Pt 2 Premium and Claims'!U6-'Pt 2 Premium and Claims'!U7-'Pt 2 Premium and Claims'!U13+'Pt 2 Premium and Claims'!U14+'Pt 2 Premium and Claims'!U15+'Pt 2 Premium and Claims'!U16+'Pt 2 Premium and Claims'!U17</f>
        <v>0</v>
      </c>
      <c r="V5" s="106">
        <f>+'Pt 2 Premium and Claims'!V5+'Pt 2 Premium and Claims'!V6-'Pt 2 Premium and Claims'!V7-'Pt 2 Premium and Claims'!V13+'Pt 2 Premium and Claims'!V14+'Pt 2 Premium and Claims'!V15+'Pt 2 Premium and Claims'!V16+'Pt 2 Premium and Claims'!V17</f>
        <v>0</v>
      </c>
      <c r="W5" s="106">
        <f>+'Pt 2 Premium and Claims'!W5+'Pt 2 Premium and Claims'!W6-'Pt 2 Premium and Claims'!W7-'Pt 2 Premium and Claims'!W13+'Pt 2 Premium and Claims'!W14+'Pt 2 Premium and Claims'!W15+'Pt 2 Premium and Claims'!W16+'Pt 2 Premium and Claims'!W17</f>
        <v>0</v>
      </c>
      <c r="X5" s="105">
        <f>+'Pt 2 Premium and Claims'!X5+'Pt 2 Premium and Claims'!X6-'Pt 2 Premium and Claims'!X7-'Pt 2 Premium and Claims'!X13+'Pt 2 Premium and Claims'!X14+'Pt 2 Premium and Claims'!X15+'Pt 2 Premium and Claims'!X16+'Pt 2 Premium and Claims'!X17</f>
        <v>0</v>
      </c>
      <c r="Y5" s="106">
        <f>+'Pt 2 Premium and Claims'!Y5+'Pt 2 Premium and Claims'!Y6-'Pt 2 Premium and Claims'!Y7-'Pt 2 Premium and Claims'!Y13+'Pt 2 Premium and Claims'!Y14+'Pt 2 Premium and Claims'!Y15+'Pt 2 Premium and Claims'!Y16+'Pt 2 Premium and Claims'!Y17</f>
        <v>0</v>
      </c>
      <c r="Z5" s="106">
        <f>+'Pt 2 Premium and Claims'!Z5+'Pt 2 Premium and Claims'!Z6-'Pt 2 Premium and Claims'!Z7-'Pt 2 Premium and Claims'!Z13+'Pt 2 Premium and Claims'!Z14+'Pt 2 Premium and Claims'!Z15+'Pt 2 Premium and Claims'!Z16+'Pt 2 Premium and Claims'!Z17</f>
        <v>0</v>
      </c>
      <c r="AA5" s="105">
        <f>+'Pt 2 Premium and Claims'!AA5+'Pt 2 Premium and Claims'!AA6-'Pt 2 Premium and Claims'!AA7-'Pt 2 Premium and Claims'!AA13+'Pt 2 Premium and Claims'!AA14+'Pt 2 Premium and Claims'!AA15+'Pt 2 Premium and Claims'!AA16+'Pt 2 Premium and Claims'!AA17</f>
        <v>0</v>
      </c>
      <c r="AB5" s="106">
        <f>+'Pt 2 Premium and Claims'!AB5+'Pt 2 Premium and Claims'!AB6-'Pt 2 Premium and Claims'!AB7-'Pt 2 Premium and Claims'!AB13+'Pt 2 Premium and Claims'!AB14+'Pt 2 Premium and Claims'!AB15+'Pt 2 Premium and Claims'!AB16+'Pt 2 Premium and Claims'!AB17</f>
        <v>0</v>
      </c>
      <c r="AC5" s="106">
        <f>+'Pt 2 Premium and Claims'!AC5+'Pt 2 Premium and Claims'!AC6-'Pt 2 Premium and Claims'!AC7-'Pt 2 Premium and Claims'!AC13+'Pt 2 Premium and Claims'!AC14+'Pt 2 Premium and Claims'!AC15+'Pt 2 Premium and Claims'!AC16+'Pt 2 Premium and Claims'!AC17</f>
        <v>0</v>
      </c>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2153212446</v>
      </c>
      <c r="AT5" s="107">
        <f>+'Pt 2 Premium and Claims'!AT5+'Pt 2 Premium and Claims'!AT6-'Pt 2 Premium and Claims'!AT7-'Pt 2 Premium and Claims'!AT13+'Pt 2 Premium and Claims'!AT14+'Pt 2 Premium and Claims'!AT15+'Pt 2 Premium and Claims'!AT16+'Pt 2 Premium and Claims'!AT17</f>
        <v>0</v>
      </c>
      <c r="AU5" s="107">
        <f>+'Pt 2 Premium and Claims'!AU5+'Pt 2 Premium and Claims'!AU6-'Pt 2 Premium and Claims'!AU7-'Pt 2 Premium and Claims'!AU13+'Pt 2 Premium and Claims'!AU14+'Pt 2 Premium and Claims'!AU15+'Pt 2 Premium and Claims'!AU16+'Pt 2 Premium and Claims'!AU17</f>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76401719.072007805</v>
      </c>
      <c r="E12" s="106">
        <f>+'Pt 2 Premium and Claims'!E54</f>
        <v>77121222.219578043</v>
      </c>
      <c r="F12" s="106">
        <f>+'Pt 2 Premium and Claims'!F54</f>
        <v>0</v>
      </c>
      <c r="G12" s="106">
        <f>+'Pt 2 Premium and Claims'!G54</f>
        <v>0</v>
      </c>
      <c r="H12" s="106">
        <f>+'Pt 2 Premium and Claims'!H54</f>
        <v>0</v>
      </c>
      <c r="I12" s="105">
        <f>+'Pt 2 Premium and Claims'!I54</f>
        <v>77121222.219578043</v>
      </c>
      <c r="J12" s="105">
        <f>+'Pt 2 Premium and Claims'!J54</f>
        <v>1005122.3790416974</v>
      </c>
      <c r="K12" s="106">
        <f>+'Pt 2 Premium and Claims'!K54</f>
        <v>1006261.3304104218</v>
      </c>
      <c r="L12" s="106">
        <f>+'Pt 2 Premium and Claims'!L54</f>
        <v>0</v>
      </c>
      <c r="M12" s="106">
        <f>+'Pt 2 Premium and Claims'!M54</f>
        <v>0</v>
      </c>
      <c r="N12" s="106">
        <f>+'Pt 2 Premium and Claims'!N54</f>
        <v>0</v>
      </c>
      <c r="O12" s="105">
        <f>+'Pt 2 Premium and Claims'!O54</f>
        <v>1006261.3304104218</v>
      </c>
      <c r="P12" s="105">
        <f>+'Pt 2 Premium and Claims'!P54</f>
        <v>15713253.098173149</v>
      </c>
      <c r="Q12" s="106">
        <f>+'Pt 2 Premium and Claims'!Q54</f>
        <v>16637877.371180288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1903245883.341372</v>
      </c>
      <c r="AT12" s="107">
        <f>+'Pt 2 Premium and Claims'!AT54</f>
        <v>0</v>
      </c>
      <c r="AU12" s="107">
        <f>+'Pt 2 Premium and Claims'!AU54</f>
        <v>0</v>
      </c>
      <c r="AV12" s="312"/>
      <c r="AW12" s="317"/>
    </row>
    <row r="13" spans="1:49" ht="25.5" x14ac:dyDescent="0.2">
      <c r="B13" s="155" t="s">
        <v>230</v>
      </c>
      <c r="C13" s="62" t="s">
        <v>37</v>
      </c>
      <c r="D13" s="109">
        <v>21761005.399999999</v>
      </c>
      <c r="E13" s="110">
        <v>23159541.419999998</v>
      </c>
      <c r="F13" s="110">
        <v>0</v>
      </c>
      <c r="G13" s="289"/>
      <c r="H13" s="290"/>
      <c r="I13" s="109">
        <v>23159541.419999998</v>
      </c>
      <c r="J13" s="109">
        <v>210357.91999999998</v>
      </c>
      <c r="K13" s="110">
        <v>228975.93999999997</v>
      </c>
      <c r="L13" s="110">
        <v>0</v>
      </c>
      <c r="M13" s="289"/>
      <c r="N13" s="290"/>
      <c r="O13" s="109">
        <v>228975.93999999997</v>
      </c>
      <c r="P13" s="109">
        <v>947874.10000000009</v>
      </c>
      <c r="Q13" s="110">
        <v>999391.92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578101189.41000009</v>
      </c>
      <c r="AT13" s="113">
        <v>0</v>
      </c>
      <c r="AU13" s="113">
        <v>0</v>
      </c>
      <c r="AV13" s="311"/>
      <c r="AW13" s="318"/>
    </row>
    <row r="14" spans="1:49" ht="25.5" x14ac:dyDescent="0.2">
      <c r="B14" s="155" t="s">
        <v>231</v>
      </c>
      <c r="C14" s="62" t="s">
        <v>6</v>
      </c>
      <c r="D14" s="109">
        <v>109609.70505628511</v>
      </c>
      <c r="E14" s="110">
        <v>268072.36260454264</v>
      </c>
      <c r="F14" s="110">
        <v>0</v>
      </c>
      <c r="G14" s="288"/>
      <c r="H14" s="291"/>
      <c r="I14" s="109">
        <v>268072.36260454264</v>
      </c>
      <c r="J14" s="109">
        <v>1892.234943714891</v>
      </c>
      <c r="K14" s="110">
        <v>4627.8373954573299</v>
      </c>
      <c r="L14" s="110">
        <v>0</v>
      </c>
      <c r="M14" s="288"/>
      <c r="N14" s="291"/>
      <c r="O14" s="109">
        <v>4627.8373954573299</v>
      </c>
      <c r="P14" s="109">
        <v>76197.42</v>
      </c>
      <c r="Q14" s="110">
        <v>95705.709999999992</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16253538.09</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-12027286</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66236</v>
      </c>
      <c r="E26" s="110">
        <v>66236</v>
      </c>
      <c r="F26" s="110">
        <v>0</v>
      </c>
      <c r="G26" s="110">
        <v>0</v>
      </c>
      <c r="H26" s="110">
        <v>0</v>
      </c>
      <c r="I26" s="109">
        <v>66236</v>
      </c>
      <c r="J26" s="109">
        <v>14123</v>
      </c>
      <c r="K26" s="110">
        <v>14123</v>
      </c>
      <c r="L26" s="110">
        <v>0</v>
      </c>
      <c r="M26" s="110">
        <v>0</v>
      </c>
      <c r="N26" s="110">
        <v>0</v>
      </c>
      <c r="O26" s="109">
        <v>14123</v>
      </c>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12114143</v>
      </c>
      <c r="E31" s="110">
        <v>12080343.232090507</v>
      </c>
      <c r="F31" s="110">
        <v>0</v>
      </c>
      <c r="G31" s="110">
        <v>0</v>
      </c>
      <c r="H31" s="110">
        <v>0</v>
      </c>
      <c r="I31" s="109">
        <v>12080343.232090507</v>
      </c>
      <c r="J31" s="109">
        <v>178564</v>
      </c>
      <c r="K31" s="110">
        <v>176442.92430975899</v>
      </c>
      <c r="L31" s="110">
        <v>0</v>
      </c>
      <c r="M31" s="110">
        <v>0</v>
      </c>
      <c r="N31" s="110">
        <v>0</v>
      </c>
      <c r="O31" s="109">
        <v>176442.92430975899</v>
      </c>
      <c r="P31" s="109">
        <v>1113453.623190609</v>
      </c>
      <c r="Q31" s="110">
        <v>1335276.8691209964</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63888851.71952533</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2253609</v>
      </c>
      <c r="E34" s="110">
        <v>2253609</v>
      </c>
      <c r="F34" s="110">
        <v>0</v>
      </c>
      <c r="G34" s="110">
        <v>0</v>
      </c>
      <c r="H34" s="110">
        <v>0</v>
      </c>
      <c r="I34" s="109">
        <v>2253609</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1485612</v>
      </c>
      <c r="E41" s="110">
        <v>1485612</v>
      </c>
      <c r="F41" s="110">
        <v>0</v>
      </c>
      <c r="G41" s="110">
        <v>0</v>
      </c>
      <c r="H41" s="110">
        <v>0</v>
      </c>
      <c r="I41" s="109">
        <v>1485612</v>
      </c>
      <c r="J41" s="109">
        <v>25647</v>
      </c>
      <c r="K41" s="110">
        <v>25647</v>
      </c>
      <c r="L41" s="110">
        <v>0</v>
      </c>
      <c r="M41" s="110">
        <v>0</v>
      </c>
      <c r="N41" s="110">
        <v>0</v>
      </c>
      <c r="O41" s="109">
        <v>25647</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15519789</v>
      </c>
      <c r="E51" s="110">
        <v>19288904.355863579</v>
      </c>
      <c r="F51" s="110">
        <v>0</v>
      </c>
      <c r="G51" s="110">
        <v>0</v>
      </c>
      <c r="H51" s="110">
        <v>0</v>
      </c>
      <c r="I51" s="109">
        <v>19288904.355863579</v>
      </c>
      <c r="J51" s="109">
        <v>267923</v>
      </c>
      <c r="K51" s="110">
        <v>267923</v>
      </c>
      <c r="L51" s="110">
        <v>0</v>
      </c>
      <c r="M51" s="110">
        <v>0</v>
      </c>
      <c r="N51" s="110">
        <v>0</v>
      </c>
      <c r="O51" s="109">
        <v>267923</v>
      </c>
      <c r="P51" s="109">
        <v>903066.21727582323</v>
      </c>
      <c r="Q51" s="110">
        <v>903066.21727582323</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150063321.0480139</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29840</v>
      </c>
      <c r="E56" s="122">
        <v>29840</v>
      </c>
      <c r="F56" s="122">
        <v>0</v>
      </c>
      <c r="G56" s="122">
        <v>0</v>
      </c>
      <c r="H56" s="122">
        <v>0</v>
      </c>
      <c r="I56" s="121">
        <v>29840</v>
      </c>
      <c r="J56" s="121">
        <v>684</v>
      </c>
      <c r="K56" s="122">
        <v>684</v>
      </c>
      <c r="L56" s="122">
        <v>0</v>
      </c>
      <c r="M56" s="122">
        <v>0</v>
      </c>
      <c r="N56" s="122">
        <v>0</v>
      </c>
      <c r="O56" s="121">
        <v>684</v>
      </c>
      <c r="P56" s="121">
        <v>1655</v>
      </c>
      <c r="Q56" s="122">
        <v>1655</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432815</v>
      </c>
      <c r="AT56" s="123">
        <v>0</v>
      </c>
      <c r="AU56" s="123">
        <v>0</v>
      </c>
      <c r="AV56" s="123">
        <v>0</v>
      </c>
      <c r="AW56" s="309"/>
    </row>
    <row r="57" spans="2:49" x14ac:dyDescent="0.2">
      <c r="B57" s="161" t="s">
        <v>273</v>
      </c>
      <c r="C57" s="62" t="s">
        <v>25</v>
      </c>
      <c r="D57" s="124">
        <v>33177</v>
      </c>
      <c r="E57" s="125">
        <v>33177</v>
      </c>
      <c r="F57" s="125">
        <v>0</v>
      </c>
      <c r="G57" s="125">
        <v>0</v>
      </c>
      <c r="H57" s="125">
        <v>0</v>
      </c>
      <c r="I57" s="124">
        <v>33177</v>
      </c>
      <c r="J57" s="124">
        <v>751</v>
      </c>
      <c r="K57" s="125">
        <v>751</v>
      </c>
      <c r="L57" s="125">
        <v>0</v>
      </c>
      <c r="M57" s="125">
        <v>0</v>
      </c>
      <c r="N57" s="125">
        <v>0</v>
      </c>
      <c r="O57" s="124">
        <v>751</v>
      </c>
      <c r="P57" s="124">
        <v>3457</v>
      </c>
      <c r="Q57" s="125">
        <v>3457</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432815</v>
      </c>
      <c r="AT57" s="126">
        <v>0</v>
      </c>
      <c r="AU57" s="126">
        <v>0</v>
      </c>
      <c r="AV57" s="126">
        <v>0</v>
      </c>
      <c r="AW57" s="310"/>
    </row>
    <row r="58" spans="2:49" x14ac:dyDescent="0.2">
      <c r="B58" s="161" t="s">
        <v>274</v>
      </c>
      <c r="C58" s="62" t="s">
        <v>26</v>
      </c>
      <c r="D58" s="330"/>
      <c r="E58" s="331"/>
      <c r="F58" s="331"/>
      <c r="G58" s="331"/>
      <c r="H58" s="331"/>
      <c r="I58" s="330"/>
      <c r="J58" s="124">
        <v>337</v>
      </c>
      <c r="K58" s="125">
        <v>337</v>
      </c>
      <c r="L58" s="125">
        <v>0</v>
      </c>
      <c r="M58" s="125">
        <v>0</v>
      </c>
      <c r="N58" s="125">
        <v>0</v>
      </c>
      <c r="O58" s="124">
        <v>337</v>
      </c>
      <c r="P58" s="124">
        <v>1</v>
      </c>
      <c r="Q58" s="125">
        <v>1</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399516</v>
      </c>
      <c r="E59" s="125">
        <v>399516</v>
      </c>
      <c r="F59" s="125">
        <v>0</v>
      </c>
      <c r="G59" s="125">
        <v>0</v>
      </c>
      <c r="H59" s="125">
        <v>0</v>
      </c>
      <c r="I59" s="124">
        <v>399516</v>
      </c>
      <c r="J59" s="124">
        <v>6897</v>
      </c>
      <c r="K59" s="125">
        <v>6897</v>
      </c>
      <c r="L59" s="125">
        <v>0</v>
      </c>
      <c r="M59" s="125">
        <v>0</v>
      </c>
      <c r="N59" s="125">
        <v>0</v>
      </c>
      <c r="O59" s="124">
        <v>6897</v>
      </c>
      <c r="P59" s="124">
        <v>41063</v>
      </c>
      <c r="Q59" s="125">
        <v>41063</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5045650</v>
      </c>
      <c r="AT59" s="126">
        <v>0</v>
      </c>
      <c r="AU59" s="126">
        <v>0</v>
      </c>
      <c r="AV59" s="126">
        <v>0</v>
      </c>
      <c r="AW59" s="310"/>
    </row>
    <row r="60" spans="2:49" x14ac:dyDescent="0.2">
      <c r="B60" s="161" t="s">
        <v>276</v>
      </c>
      <c r="C60" s="62"/>
      <c r="D60" s="127">
        <f>D59/12</f>
        <v>33293</v>
      </c>
      <c r="E60" s="128">
        <f t="shared" ref="E60:AC60" si="0">E59/12</f>
        <v>33293</v>
      </c>
      <c r="F60" s="128">
        <f t="shared" si="0"/>
        <v>0</v>
      </c>
      <c r="G60" s="128">
        <f t="shared" si="0"/>
        <v>0</v>
      </c>
      <c r="H60" s="128">
        <f t="shared" si="0"/>
        <v>0</v>
      </c>
      <c r="I60" s="127">
        <f t="shared" si="0"/>
        <v>33293</v>
      </c>
      <c r="J60" s="127">
        <f t="shared" si="0"/>
        <v>574.75</v>
      </c>
      <c r="K60" s="128">
        <f t="shared" si="0"/>
        <v>574.75</v>
      </c>
      <c r="L60" s="128">
        <f t="shared" si="0"/>
        <v>0</v>
      </c>
      <c r="M60" s="128">
        <f t="shared" si="0"/>
        <v>0</v>
      </c>
      <c r="N60" s="128">
        <f t="shared" si="0"/>
        <v>0</v>
      </c>
      <c r="O60" s="127">
        <f t="shared" si="0"/>
        <v>574.75</v>
      </c>
      <c r="P60" s="127">
        <f t="shared" si="0"/>
        <v>3421.9166666666665</v>
      </c>
      <c r="Q60" s="128">
        <f t="shared" si="0"/>
        <v>3421.9166666666665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 t="shared" ref="AS60:AV60" si="1">AS59/12</f>
        <v>420470.83333333331</v>
      </c>
      <c r="AT60" s="129">
        <f t="shared" si="1"/>
        <v>0</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53" yWindow="62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30" activePane="bottomRight" state="frozen"/>
      <selection activeCell="B1" sqref="B1"/>
      <selection pane="topRight" activeCell="B1" sqref="B1"/>
      <selection pane="bottomLeft" activeCell="B1" sqref="B1"/>
      <selection pane="bottomRight" activeCell="H54" sqref="H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146853676</v>
      </c>
      <c r="E5" s="118">
        <v>144984418</v>
      </c>
      <c r="F5" s="118">
        <v>0</v>
      </c>
      <c r="G5" s="130">
        <v>0</v>
      </c>
      <c r="H5" s="130">
        <v>0</v>
      </c>
      <c r="I5" s="117">
        <v>144984418</v>
      </c>
      <c r="J5" s="117">
        <v>2738661</v>
      </c>
      <c r="K5" s="118">
        <v>2689694.3200000003</v>
      </c>
      <c r="L5" s="118">
        <v>0</v>
      </c>
      <c r="M5" s="118">
        <v>0</v>
      </c>
      <c r="N5" s="118">
        <v>0</v>
      </c>
      <c r="O5" s="117">
        <v>2689694.3200000003</v>
      </c>
      <c r="P5" s="117">
        <v>19503269</v>
      </c>
      <c r="Q5" s="118">
        <v>19503269</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2153212446</v>
      </c>
      <c r="AT5" s="119">
        <v>0</v>
      </c>
      <c r="AU5" s="119">
        <v>0</v>
      </c>
      <c r="AV5" s="312"/>
      <c r="AW5" s="317"/>
    </row>
    <row r="6" spans="2:49" x14ac:dyDescent="0.2">
      <c r="B6" s="176" t="s">
        <v>279</v>
      </c>
      <c r="C6" s="133" t="s">
        <v>8</v>
      </c>
      <c r="D6" s="109">
        <v>1203324</v>
      </c>
      <c r="E6" s="110">
        <v>1203324</v>
      </c>
      <c r="F6" s="110">
        <v>0</v>
      </c>
      <c r="G6" s="111">
        <v>0</v>
      </c>
      <c r="H6" s="111">
        <v>0</v>
      </c>
      <c r="I6" s="109">
        <v>1203324</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3578089</v>
      </c>
      <c r="E7" s="110">
        <v>3578089</v>
      </c>
      <c r="F7" s="110">
        <v>0</v>
      </c>
      <c r="G7" s="111">
        <v>0</v>
      </c>
      <c r="H7" s="111">
        <v>0</v>
      </c>
      <c r="I7" s="109">
        <v>3578089</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4712608</v>
      </c>
      <c r="E15" s="110">
        <v>4200475.38</v>
      </c>
      <c r="F15" s="110">
        <v>0</v>
      </c>
      <c r="G15" s="110">
        <v>0</v>
      </c>
      <c r="H15" s="110">
        <v>0</v>
      </c>
      <c r="I15" s="109">
        <v>4200475.38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-56658248</v>
      </c>
      <c r="E16" s="110">
        <v>-54020697.93</v>
      </c>
      <c r="F16" s="110">
        <v>0</v>
      </c>
      <c r="G16" s="110">
        <v>0</v>
      </c>
      <c r="H16" s="110">
        <v>0</v>
      </c>
      <c r="I16" s="109">
        <v>-54020697.93</v>
      </c>
      <c r="J16" s="109">
        <v>-1504209</v>
      </c>
      <c r="K16" s="110">
        <v>-1166880.06</v>
      </c>
      <c r="L16" s="110">
        <v>0</v>
      </c>
      <c r="M16" s="110">
        <v>0</v>
      </c>
      <c r="N16" s="110">
        <v>0</v>
      </c>
      <c r="O16" s="109">
        <v>-1166880.06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5099474</v>
      </c>
      <c r="E17" s="269">
        <v>8754733.0581641812</v>
      </c>
      <c r="F17" s="269">
        <v>0</v>
      </c>
      <c r="G17" s="269">
        <v>0</v>
      </c>
      <c r="H17" s="110">
        <v>0</v>
      </c>
      <c r="I17" s="293"/>
      <c r="J17" s="109">
        <v>199350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78182903.310000002</v>
      </c>
      <c r="E20" s="110">
        <v>78182903.310000002</v>
      </c>
      <c r="F20" s="110">
        <v>0</v>
      </c>
      <c r="G20" s="110">
        <v>0</v>
      </c>
      <c r="H20" s="110">
        <v>0</v>
      </c>
      <c r="I20" s="109">
        <v>78182903.310000002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67908695.519999996</v>
      </c>
      <c r="E23" s="288"/>
      <c r="F23" s="288"/>
      <c r="G23" s="288"/>
      <c r="H23" s="288"/>
      <c r="I23" s="292"/>
      <c r="J23" s="109">
        <v>852391.79</v>
      </c>
      <c r="K23" s="288"/>
      <c r="L23" s="288"/>
      <c r="M23" s="288"/>
      <c r="N23" s="288"/>
      <c r="O23" s="292"/>
      <c r="P23" s="109">
        <v>6323767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1790951525</v>
      </c>
      <c r="AT23" s="113">
        <v>0</v>
      </c>
      <c r="AU23" s="113">
        <v>0</v>
      </c>
      <c r="AV23" s="311"/>
      <c r="AW23" s="318"/>
    </row>
    <row r="24" spans="2:49" ht="28.5" customHeight="1" x14ac:dyDescent="0.2">
      <c r="B24" s="178" t="s">
        <v>114</v>
      </c>
      <c r="C24" s="133"/>
      <c r="D24" s="293"/>
      <c r="E24" s="110">
        <v>73258934.829999998</v>
      </c>
      <c r="F24" s="110">
        <v>0</v>
      </c>
      <c r="G24" s="110">
        <v>0</v>
      </c>
      <c r="H24" s="110">
        <v>0</v>
      </c>
      <c r="I24" s="109">
        <v>73258934.829999998</v>
      </c>
      <c r="J24" s="293"/>
      <c r="K24" s="110">
        <v>950992.30999999982</v>
      </c>
      <c r="L24" s="110">
        <v>0</v>
      </c>
      <c r="M24" s="110">
        <v>0</v>
      </c>
      <c r="N24" s="110">
        <v>0</v>
      </c>
      <c r="O24" s="109">
        <v>950992.30999999982</v>
      </c>
      <c r="P24" s="293"/>
      <c r="Q24" s="110">
        <v>6952060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8493023.5520078056</v>
      </c>
      <c r="E26" s="288"/>
      <c r="F26" s="288"/>
      <c r="G26" s="288"/>
      <c r="H26" s="288"/>
      <c r="I26" s="292"/>
      <c r="J26" s="109">
        <v>152730.58904169733</v>
      </c>
      <c r="K26" s="288"/>
      <c r="L26" s="288"/>
      <c r="M26" s="288"/>
      <c r="N26" s="288"/>
      <c r="O26" s="292"/>
      <c r="P26" s="109">
        <v>512467.07859985495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166432635.31245455</v>
      </c>
      <c r="AT26" s="113">
        <v>0</v>
      </c>
      <c r="AU26" s="113">
        <v>0</v>
      </c>
      <c r="AV26" s="311"/>
      <c r="AW26" s="318"/>
    </row>
    <row r="27" spans="2:49" s="5" customFormat="1" ht="25.5" x14ac:dyDescent="0.2">
      <c r="B27" s="178" t="s">
        <v>85</v>
      </c>
      <c r="C27" s="133"/>
      <c r="D27" s="293"/>
      <c r="E27" s="110">
        <v>3862287.3895780472</v>
      </c>
      <c r="F27" s="110">
        <v>0</v>
      </c>
      <c r="G27" s="110">
        <v>0</v>
      </c>
      <c r="H27" s="110">
        <v>0</v>
      </c>
      <c r="I27" s="109">
        <v>3862287.3895780472</v>
      </c>
      <c r="J27" s="293"/>
      <c r="K27" s="110">
        <v>55269.020410421945</v>
      </c>
      <c r="L27" s="110">
        <v>0</v>
      </c>
      <c r="M27" s="110">
        <v>0</v>
      </c>
      <c r="N27" s="110">
        <v>0</v>
      </c>
      <c r="O27" s="109">
        <v>55269.020410421945</v>
      </c>
      <c r="P27" s="293"/>
      <c r="Q27" s="110">
        <v>113331.60984671931</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695466.74176027463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186683514.26991138</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1537029</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129485469</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9572485.761333568</v>
      </c>
      <c r="Q46" s="110">
        <v>9572485.761333568</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191616734.89309543</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1537029</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188556966.59426671</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76401719.072007805</v>
      </c>
      <c r="E54" s="115">
        <f t="shared" ref="E54:O54" si="0">E24+E27+E31+E35-E36+E39+E42+E45+E46-E49+E51+E52+E53</f>
        <v>77121222.219578043</v>
      </c>
      <c r="F54" s="115">
        <f t="shared" si="0"/>
        <v>0</v>
      </c>
      <c r="G54" s="115">
        <f t="shared" si="0"/>
        <v>0</v>
      </c>
      <c r="H54" s="115">
        <f t="shared" si="0"/>
        <v>0</v>
      </c>
      <c r="I54" s="114">
        <f t="shared" si="0"/>
        <v>77121222.219578043</v>
      </c>
      <c r="J54" s="114">
        <f>+J23+J26-J28+J30-J32+J34-J36+J38+J41-J43+J45+J46-J47-J49+J50+J51+J52+J53</f>
        <v>1005122.3790416974</v>
      </c>
      <c r="K54" s="115">
        <f t="shared" si="0"/>
        <v>1006261.3304104218</v>
      </c>
      <c r="L54" s="115">
        <f t="shared" si="0"/>
        <v>0</v>
      </c>
      <c r="M54" s="115">
        <f t="shared" si="0"/>
        <v>0</v>
      </c>
      <c r="N54" s="115">
        <f t="shared" si="0"/>
        <v>0</v>
      </c>
      <c r="O54" s="114">
        <f t="shared" si="0"/>
        <v>1006261.3304104218</v>
      </c>
      <c r="P54" s="114">
        <f>+P23+P26-P28+P30-P32+P34-P36+P38+P41-P43+P45+P46-P47-P49+P50+P51+P52+P53</f>
        <v>15713253.098173149</v>
      </c>
      <c r="Q54" s="115">
        <f t="shared" ref="Q54:T54" si="1">Q24+Q27+Q31+Q35-Q36+Q39+Q42+Q45+Q46-Q49+Q51+Q52+Q53</f>
        <v>16637877.371180288</v>
      </c>
      <c r="R54" s="115">
        <f t="shared" si="1"/>
        <v>0</v>
      </c>
      <c r="S54" s="115">
        <f t="shared" si="1"/>
        <v>0</v>
      </c>
      <c r="T54" s="115">
        <f t="shared" si="1"/>
        <v>0</v>
      </c>
      <c r="U54" s="114">
        <f>+U23+U26-U28+U30-U32+U34-U36+U38+U41-U43+U45+U46-U47-U49+U50+U51+U52+U53</f>
        <v>0</v>
      </c>
      <c r="V54" s="115">
        <f t="shared" ref="V54:W54" si="2">V24+V27+V31+V35-V36+V39+V42+V45+V46-V49+V51+V52+V53</f>
        <v>0</v>
      </c>
      <c r="W54" s="115">
        <f t="shared" si="2"/>
        <v>0</v>
      </c>
      <c r="X54" s="114">
        <f>+X23+X26-X28+X30-X32+X34-X36+X38+X41-X43+X45+X46-X47-X49+X50+X51+X52+X53</f>
        <v>0</v>
      </c>
      <c r="Y54" s="115">
        <f t="shared" ref="Y54:Z54" si="3">Y24+Y27+Y31+Y35-Y36+Y39+Y42+Y45+Y46-Y49+Y51+Y52+Y53</f>
        <v>0</v>
      </c>
      <c r="Z54" s="115">
        <f t="shared" si="3"/>
        <v>0</v>
      </c>
      <c r="AA54" s="114">
        <f>+AA23+AA26-AA28+AA30-AA32+AA34-AA36+AA38+AA41-AA43+AA45+AA46-AA47-AA49+AA50+AA51+AA52+AA53</f>
        <v>0</v>
      </c>
      <c r="AB54" s="115">
        <f t="shared" ref="AB54:AC54" si="4">AB24+AB27+AB31+AB35-AB36+AB39+AB42+AB45+AB46-AB49+AB51+AB52+AB53</f>
        <v>0</v>
      </c>
      <c r="AC54" s="115">
        <f t="shared" si="4"/>
        <v>0</v>
      </c>
      <c r="AD54" s="114"/>
      <c r="AE54" s="288"/>
      <c r="AF54" s="288"/>
      <c r="AG54" s="288"/>
      <c r="AH54" s="288"/>
      <c r="AI54" s="114"/>
      <c r="AJ54" s="288"/>
      <c r="AK54" s="288"/>
      <c r="AL54" s="288"/>
      <c r="AM54" s="288"/>
      <c r="AN54" s="114"/>
      <c r="AO54" s="115"/>
      <c r="AP54" s="115"/>
      <c r="AQ54" s="115"/>
      <c r="AR54" s="115"/>
      <c r="AS54" s="114">
        <f t="shared" ref="AS54:AU54" si="5">+AS23+AS26-AS28+AS30-AS32+AS34-AS36+AS38+AS41-AS43+AS45+AS46-AS47-AS49+AS50+AS51+AS52+AS53</f>
        <v>1903245883.341372</v>
      </c>
      <c r="AT54" s="116">
        <f t="shared" si="5"/>
        <v>0</v>
      </c>
      <c r="AU54" s="116">
        <f t="shared" si="5"/>
        <v>0</v>
      </c>
      <c r="AV54" s="311"/>
      <c r="AW54" s="318"/>
    </row>
    <row r="55" spans="2:49" ht="25.5" x14ac:dyDescent="0.2">
      <c r="B55" s="181" t="s">
        <v>304</v>
      </c>
      <c r="C55" s="137" t="s">
        <v>28</v>
      </c>
      <c r="D55" s="114">
        <f>IF(D56=0,0,(IF(D57=0,0,(IF(D56&gt;D57,D57,D56)))))</f>
        <v>0</v>
      </c>
      <c r="E55" s="115">
        <f t="shared" ref="E55:I55" si="6">IF(E56=0,0,(IF(E57=0,0,(IF(E56&gt;E57,E57,E56)))))</f>
        <v>0</v>
      </c>
      <c r="F55" s="115">
        <f t="shared" si="6"/>
        <v>0</v>
      </c>
      <c r="G55" s="115">
        <f t="shared" si="6"/>
        <v>0</v>
      </c>
      <c r="H55" s="115">
        <f t="shared" si="6"/>
        <v>0</v>
      </c>
      <c r="I55" s="114">
        <f t="shared" si="6"/>
        <v>0</v>
      </c>
      <c r="J55" s="114">
        <f t="shared" ref="J55:O55" si="7">IF(J56=0,0,(IF(J57=0,0,(IF(J56&gt;J57,J57,J56)))))</f>
        <v>0</v>
      </c>
      <c r="K55" s="115">
        <f t="shared" si="7"/>
        <v>0</v>
      </c>
      <c r="L55" s="115">
        <f t="shared" si="7"/>
        <v>0</v>
      </c>
      <c r="M55" s="115">
        <f t="shared" si="7"/>
        <v>0</v>
      </c>
      <c r="N55" s="115">
        <f t="shared" si="7"/>
        <v>0</v>
      </c>
      <c r="O55" s="114">
        <f t="shared" si="7"/>
        <v>0</v>
      </c>
      <c r="P55" s="114">
        <f t="shared" ref="P55:T55" si="8">IF(P56=0,0,(IF(P57=0,0,(IF(P56&gt;P57,P57,P56)))))</f>
        <v>0</v>
      </c>
      <c r="Q55" s="115">
        <f t="shared" si="8"/>
        <v>0</v>
      </c>
      <c r="R55" s="115">
        <f t="shared" si="8"/>
        <v>0</v>
      </c>
      <c r="S55" s="115">
        <f t="shared" si="8"/>
        <v>0</v>
      </c>
      <c r="T55" s="115">
        <f t="shared" si="8"/>
        <v>0</v>
      </c>
      <c r="U55" s="114">
        <f t="shared" ref="U55:W55" si="9">IF(U56=0,0,(IF(U57=0,0,(IF(U56&gt;U57,U57,U56)))))</f>
        <v>0</v>
      </c>
      <c r="V55" s="115">
        <f t="shared" si="9"/>
        <v>0</v>
      </c>
      <c r="W55" s="115">
        <f t="shared" si="9"/>
        <v>0</v>
      </c>
      <c r="X55" s="114">
        <f t="shared" ref="X55:AC55" si="10">IF(X56=0,0,(IF(X57=0,0,(IF(X56&gt;X57,X57,X56)))))</f>
        <v>0</v>
      </c>
      <c r="Y55" s="115">
        <f t="shared" si="10"/>
        <v>0</v>
      </c>
      <c r="Z55" s="115">
        <f t="shared" si="10"/>
        <v>0</v>
      </c>
      <c r="AA55" s="114">
        <f t="shared" si="10"/>
        <v>0</v>
      </c>
      <c r="AB55" s="115">
        <f t="shared" si="10"/>
        <v>0</v>
      </c>
      <c r="AC55" s="115">
        <f t="shared" si="10"/>
        <v>0</v>
      </c>
      <c r="AD55" s="114"/>
      <c r="AE55" s="288"/>
      <c r="AF55" s="288"/>
      <c r="AG55" s="288"/>
      <c r="AH55" s="288"/>
      <c r="AI55" s="114"/>
      <c r="AJ55" s="288"/>
      <c r="AK55" s="288"/>
      <c r="AL55" s="288"/>
      <c r="AM55" s="288"/>
      <c r="AN55" s="114"/>
      <c r="AO55" s="115"/>
      <c r="AP55" s="115"/>
      <c r="AQ55" s="115"/>
      <c r="AR55" s="115"/>
      <c r="AS55" s="114">
        <f t="shared" ref="AS55:AU55" si="11">IF(AS56=0,0,(IF(AS57=0,0,(IF(AS56&gt;AS57,AS57,AS56)))))</f>
        <v>0</v>
      </c>
      <c r="AT55" s="116">
        <f t="shared" si="11"/>
        <v>0</v>
      </c>
      <c r="AU55" s="116">
        <f t="shared" si="11"/>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7286993</v>
      </c>
      <c r="E58" s="187">
        <v>7286993</v>
      </c>
      <c r="F58" s="187">
        <v>0</v>
      </c>
      <c r="G58" s="187">
        <v>0</v>
      </c>
      <c r="H58" s="187">
        <v>0</v>
      </c>
      <c r="I58" s="186">
        <v>7286993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585" yWindow="51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5" zoomScaleNormal="85" workbookViewId="0">
      <pane xSplit="2" ySplit="3" topLeftCell="E15" activePane="bottomRight" state="frozen"/>
      <selection activeCell="B1" sqref="B1"/>
      <selection pane="topRight" activeCell="B1" sqref="B1"/>
      <selection pane="bottomLeft" activeCell="B1" sqref="B1"/>
      <selection pane="bottomRight" activeCell="E37" sqref="E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('Pt 1 Summary of Data'!E12+'Pt 1 Summary of Data'!E22)+('Pt 1 Summary of Data'!G12+'Pt 1 Summary of Data'!G22)-('Pt 1 Summary of Data'!H12+'Pt 1 Summary of Data'!H22)</f>
        <v>77121222.219578043</v>
      </c>
      <c r="F6" s="115">
        <f>+C6+D6+E6</f>
        <v>77121222.219578043</v>
      </c>
      <c r="G6" s="116">
        <f>+'Pt 1 Summary of Data'!I12+'Pt 1 Summary of Data'!I22</f>
        <v>77121222.219578043</v>
      </c>
      <c r="H6" s="109">
        <v>0</v>
      </c>
      <c r="I6" s="110">
        <v>0</v>
      </c>
      <c r="J6" s="115">
        <f>+('Pt 1 Summary of Data'!K12+'Pt 1 Summary of Data'!K22)+('Pt 1 Summary of Data'!M12+'Pt 1 Summary of Data'!M22)-('Pt 1 Summary of Data'!N12+'Pt 1 Summary of Data'!N22)</f>
        <v>1006261.3304104218</v>
      </c>
      <c r="K6" s="115">
        <f>+H6+I6+J6</f>
        <v>1006261.3304104218</v>
      </c>
      <c r="L6" s="116">
        <f>+'Pt 1 Summary of Data'!O12+'Pt 1 Summary of Data'!O22</f>
        <v>1006261.3304104218</v>
      </c>
      <c r="M6" s="109">
        <v>0</v>
      </c>
      <c r="N6" s="110">
        <v>0</v>
      </c>
      <c r="O6" s="115">
        <f>('Pt 1 Summary of Data'!Q12+'Pt 1 Summary of Data'!Q22)+('Pt 1 Summary of Data'!S12+'Pt 1 Summary of Data'!S22)-('Pt 1 Summary of Data'!T12+'Pt 1 Summary of Data'!T22)</f>
        <v>16637877.371180288</v>
      </c>
      <c r="P6" s="115">
        <f>+M6+N6+O6</f>
        <v>16637877.371180288</v>
      </c>
      <c r="Q6" s="109">
        <v>0</v>
      </c>
      <c r="R6" s="110">
        <v>0</v>
      </c>
      <c r="S6" s="115"/>
      <c r="T6" s="115"/>
      <c r="U6" s="109">
        <v>0</v>
      </c>
      <c r="V6" s="110">
        <v>0</v>
      </c>
      <c r="W6" s="115"/>
      <c r="X6" s="115"/>
      <c r="Y6" s="109">
        <v>0</v>
      </c>
      <c r="Z6" s="110">
        <v>0</v>
      </c>
      <c r="AA6" s="115"/>
      <c r="AB6" s="115"/>
      <c r="AC6" s="292"/>
      <c r="AD6" s="288"/>
      <c r="AE6" s="288"/>
      <c r="AF6" s="288"/>
      <c r="AG6" s="292"/>
      <c r="AH6" s="288"/>
      <c r="AI6" s="288"/>
      <c r="AJ6" s="288"/>
      <c r="AK6" s="292"/>
      <c r="AL6" s="110"/>
      <c r="AM6" s="115"/>
      <c r="AN6" s="253"/>
    </row>
    <row r="7" spans="1:40" x14ac:dyDescent="0.2">
      <c r="B7" s="191" t="s">
        <v>312</v>
      </c>
      <c r="C7" s="109">
        <v>0</v>
      </c>
      <c r="D7" s="110">
        <v>0</v>
      </c>
      <c r="E7" s="115">
        <f>+('Pt 1 Summary of Data'!E37+'Pt 1 Summary of Data'!E38+'Pt 1 Summary of Data'!E39+'Pt 1 Summary of Data'!E40+'Pt 1 Summary of Data'!E41+'Pt 1 Summary of Data'!E42)+('Pt 1 Summary of Data'!G37+'Pt 1 Summary of Data'!G38+'Pt 1 Summary of Data'!G39+'Pt 1 Summary of Data'!G40+'Pt 1 Summary of Data'!G41+'Pt 1 Summary of Data'!G42)-('Pt 1 Summary of Data'!H37+'Pt 1 Summary of Data'!H38+'Pt 1 Summary of Data'!H39+'Pt 1 Summary of Data'!H40+'Pt 1 Summary of Data'!H41+'Pt 1 Summary of Data'!H42)</f>
        <v>1485612</v>
      </c>
      <c r="F7" s="115">
        <f>+C7+D7+E7</f>
        <v>1485612</v>
      </c>
      <c r="G7" s="116">
        <f>+'Pt 1 Summary of Data'!I37+'Pt 1 Summary of Data'!I38+'Pt 1 Summary of Data'!I39+'Pt 1 Summary of Data'!I40+'Pt 1 Summary of Data'!I41+'Pt 1 Summary of Data'!I42</f>
        <v>1485612</v>
      </c>
      <c r="H7" s="109">
        <v>0</v>
      </c>
      <c r="I7" s="110">
        <v>0</v>
      </c>
      <c r="J7" s="115">
        <f>+('Pt 1 Summary of Data'!K37+'Pt 1 Summary of Data'!K38+'Pt 1 Summary of Data'!K39+'Pt 1 Summary of Data'!K40+'Pt 1 Summary of Data'!K41+'Pt 1 Summary of Data'!K42)+('Pt 1 Summary of Data'!M37+'Pt 1 Summary of Data'!M38+'Pt 1 Summary of Data'!M39+'Pt 1 Summary of Data'!M40+'Pt 1 Summary of Data'!M41+'Pt 1 Summary of Data'!M42)-('Pt 1 Summary of Data'!N37+'Pt 1 Summary of Data'!N38+'Pt 1 Summary of Data'!N39+'Pt 1 Summary of Data'!N40+'Pt 1 Summary of Data'!N41+'Pt 1 Summary of Data'!N42)</f>
        <v>25647</v>
      </c>
      <c r="K7" s="115">
        <f>+H7+I7+J7</f>
        <v>25647</v>
      </c>
      <c r="L7" s="116">
        <f>+'Pt 1 Summary of Data'!O37+'Pt 1 Summary of Data'!O38+'Pt 1 Summary of Data'!O39+'Pt 1 Summary of Data'!O40+'Pt 1 Summary of Data'!O41+'Pt 1 Summary of Data'!O42</f>
        <v>25647</v>
      </c>
      <c r="M7" s="109">
        <v>0</v>
      </c>
      <c r="N7" s="110">
        <v>0</v>
      </c>
      <c r="O7" s="115">
        <f>('Pt 1 Summary of Data'!Q37+'Pt 1 Summary of Data'!Q38+'Pt 1 Summary of Data'!Q39+'Pt 1 Summary of Data'!Q40+'Pt 1 Summary of Data'!Q41+'Pt 1 Summary of Data'!Q42)+('Pt 1 Summary of Data'!S37+'Pt 1 Summary of Data'!S38+'Pt 1 Summary of Data'!S39+'Pt 1 Summary of Data'!S40+'Pt 1 Summary of Data'!S41+'Pt 1 Summary of Data'!S42)-('Pt 1 Summary of Data'!T37+'Pt 1 Summary of Data'!T38+'Pt 1 Summary of Data'!T39+'Pt 1 Summary of Data'!T40+'Pt 1 Summary of Data'!T41+'Pt 1 Summary of Data'!T42)</f>
        <v>0</v>
      </c>
      <c r="P7" s="115">
        <f>+M7+N7+O7</f>
        <v>0</v>
      </c>
      <c r="Q7" s="109">
        <v>0</v>
      </c>
      <c r="R7" s="110">
        <v>0</v>
      </c>
      <c r="S7" s="115"/>
      <c r="T7" s="115"/>
      <c r="U7" s="109">
        <v>0</v>
      </c>
      <c r="V7" s="110">
        <v>0</v>
      </c>
      <c r="W7" s="115"/>
      <c r="X7" s="115"/>
      <c r="Y7" s="109">
        <v>0</v>
      </c>
      <c r="Z7" s="110">
        <v>0</v>
      </c>
      <c r="AA7" s="115"/>
      <c r="AB7" s="115"/>
      <c r="AC7" s="292"/>
      <c r="AD7" s="288"/>
      <c r="AE7" s="288"/>
      <c r="AF7" s="288"/>
      <c r="AG7" s="292"/>
      <c r="AH7" s="288"/>
      <c r="AI7" s="288"/>
      <c r="AJ7" s="288"/>
      <c r="AK7" s="292"/>
      <c r="AL7" s="110"/>
      <c r="AM7" s="115"/>
      <c r="AN7" s="253"/>
    </row>
    <row r="8" spans="1:40" x14ac:dyDescent="0.2">
      <c r="B8" s="191" t="s">
        <v>483</v>
      </c>
      <c r="C8" s="293"/>
      <c r="D8" s="289"/>
      <c r="E8" s="269">
        <v>7286993</v>
      </c>
      <c r="F8" s="269">
        <v>7286993</v>
      </c>
      <c r="G8" s="270">
        <v>7286993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4200475.38</v>
      </c>
      <c r="F9" s="115">
        <f>+'Pt 2 Premium and Claims'!E15+'Pt 2 Premium and Claims'!G15-'Pt 2 Premium and Claims'!H15</f>
        <v>4200475.38</v>
      </c>
      <c r="G9" s="116">
        <f>+'Pt 2 Premium and Claims'!I15</f>
        <v>4200475.38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-54020697.93</v>
      </c>
      <c r="F10" s="115">
        <f>+'Pt 2 Premium and Claims'!E16+'Pt 2 Premium and Claims'!G16-'Pt 2 Premium and Claims'!H16</f>
        <v>-54020697.93</v>
      </c>
      <c r="G10" s="116">
        <f>+'Pt 2 Premium and Claims'!I16</f>
        <v>-54020697.93</v>
      </c>
      <c r="H10" s="292"/>
      <c r="I10" s="288"/>
      <c r="J10" s="115">
        <f>+'Pt 2 Premium and Claims'!K16+'Pt 2 Premium and Claims'!M16-'Pt 2 Premium and Claims'!N16</f>
        <v>-1166880.06</v>
      </c>
      <c r="K10" s="115">
        <f>+'Pt 2 Premium and Claims'!K16+'Pt 2 Premium and Claims'!M16-'Pt 2 Premium and Claims'!N16</f>
        <v>-1166880.06</v>
      </c>
      <c r="L10" s="116">
        <f>+'Pt 2 Premium and Claims'!O16</f>
        <v>-1166880.06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8754733.0581641812</v>
      </c>
      <c r="F11" s="115">
        <f>+C11+D11+E11</f>
        <v>8754733.0581641812</v>
      </c>
      <c r="G11" s="314"/>
      <c r="H11" s="292"/>
      <c r="I11" s="288"/>
      <c r="J11" s="115">
        <f>+'Pt 2 Premium and Claims'!K17+'Pt 2 Premium and Claims'!M17-'Pt 2 Premium and Claims'!N17</f>
        <v>0</v>
      </c>
      <c r="K11" s="115">
        <f t="shared" ref="K11" si="0">+H11+I11+J11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0</v>
      </c>
      <c r="D12" s="115">
        <f>+D6+D7</f>
        <v>0</v>
      </c>
      <c r="E12" s="115">
        <f>+E6+E7-E8-E9-E10-E11</f>
        <v>112385330.71141386</v>
      </c>
      <c r="F12" s="115">
        <f>+C12+D12+E12</f>
        <v>112385330.71141386</v>
      </c>
      <c r="G12" s="311"/>
      <c r="H12" s="114">
        <f>+H6+H7</f>
        <v>0</v>
      </c>
      <c r="I12" s="115">
        <f>+I6+I7</f>
        <v>0</v>
      </c>
      <c r="J12" s="115">
        <f>+J6+J7-J8-J9-J10-J11</f>
        <v>2198788.3904104219</v>
      </c>
      <c r="K12" s="115">
        <f t="shared" ref="K12" si="1">+H12+I12+J12</f>
        <v>2198788.3904104219</v>
      </c>
      <c r="L12" s="311"/>
      <c r="M12" s="114">
        <f t="shared" ref="M12:N12" si="2">+M6+M7</f>
        <v>0</v>
      </c>
      <c r="N12" s="115">
        <f t="shared" si="2"/>
        <v>0</v>
      </c>
      <c r="O12" s="115">
        <f>+O6+O7-O8-O9-O10-O11</f>
        <v>16637877.371180288</v>
      </c>
      <c r="P12" s="115">
        <f>+M12+N12+O12</f>
        <v>16637877.371180288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f>('Pt 1 Summary of Data'!E5+'Pt 1 Summary of Data'!E6+'Pt 1 Summary of Data'!E7)-('Pt 3 MLR and Rebate Calculation'!E9+'Pt 3 MLR and Rebate Calculation'!E10+'Pt 3 MLR and Rebate Calculation'!E11)</f>
        <v>142609653</v>
      </c>
      <c r="F15" s="106">
        <f>+C15+D15+E15</f>
        <v>142609653</v>
      </c>
      <c r="G15" s="107">
        <f>('Pt 1 Summary of Data'!I5+'Pt 1 Summary of Data'!I6+'Pt 1 Summary of Data'!I7)-('Pt 3 MLR and Rebate Calculation'!G9+'Pt 3 MLR and Rebate Calculation'!G10)</f>
        <v>142609653</v>
      </c>
      <c r="H15" s="117">
        <v>0</v>
      </c>
      <c r="I15" s="118">
        <v>0</v>
      </c>
      <c r="J15" s="106">
        <f>(('Pt 1 Summary of Data'!K5+'Pt 1 Summary of Data'!K6+'Pt 1 Summary of Data'!K7)+('Pt 1 Summary of Data'!M5+'Pt 1 Summary of Data'!M6+'Pt 1 Summary of Data'!M7)-('Pt 1 Summary of Data'!N5+'Pt 1 Summary of Data'!N6+'Pt 1 Summary of Data'!N7))-('Pt 3 MLR and Rebate Calculation'!J9+'Pt 3 MLR and Rebate Calculation'!J10+'Pt 3 MLR and Rebate Calculation'!J11)</f>
        <v>2689694.3200000003</v>
      </c>
      <c r="K15" s="106">
        <f>+H15+I15+J15</f>
        <v>2689694.3200000003</v>
      </c>
      <c r="L15" s="107">
        <f>('Pt 1 Summary of Data'!O5+'Pt 1 Summary of Data'!O6+'Pt 1 Summary of Data'!O7)-('Pt 3 MLR and Rebate Calculation'!L9+'Pt 3 MLR and Rebate Calculation'!L10)</f>
        <v>2689694.3200000003</v>
      </c>
      <c r="M15" s="117">
        <v>0</v>
      </c>
      <c r="N15" s="118">
        <v>0</v>
      </c>
      <c r="O15" s="106">
        <f>(('Pt 1 Summary of Data'!Q5+'Pt 1 Summary of Data'!Q6+'Pt 1 Summary of Data'!Q7)+('Pt 1 Summary of Data'!S5+'Pt 1 Summary of Data'!S6+'Pt 1 Summary of Data'!S7)-('Pt 1 Summary of Data'!T5+'Pt 1 Summary of Data'!T6+'Pt 1 Summary of Data'!T7))-('Pt 3 MLR and Rebate Calculation'!O9+'Pt 3 MLR and Rebate Calculation'!O10+'Pt 3 MLR and Rebate Calculation'!O11)</f>
        <v>19503269</v>
      </c>
      <c r="P15" s="106">
        <f>+M15+N15+O15</f>
        <v>19503269</v>
      </c>
      <c r="Q15" s="117">
        <v>0</v>
      </c>
      <c r="R15" s="118">
        <v>0</v>
      </c>
      <c r="S15" s="106"/>
      <c r="T15" s="106"/>
      <c r="U15" s="117">
        <v>0</v>
      </c>
      <c r="V15" s="118">
        <v>0</v>
      </c>
      <c r="W15" s="106"/>
      <c r="X15" s="106"/>
      <c r="Y15" s="117">
        <v>0</v>
      </c>
      <c r="Z15" s="118">
        <v>0</v>
      </c>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f>('Pt 1 Summary of Data'!E25+'Pt 1 Summary of Data'!E26+'Pt 1 Summary of Data'!E27+'Pt 1 Summary of Data'!E28+'Pt 1 Summary of Data'!E30+'Pt 1 Summary of Data'!E31+'Pt 1 Summary of Data'!E32+'Pt 1 Summary of Data'!E34+'Pt 1 Summary of Data'!E35)+('Pt 1 Summary of Data'!G25+'Pt 1 Summary of Data'!G26+'Pt 1 Summary of Data'!G27+'Pt 1 Summary of Data'!G28+'Pt 1 Summary of Data'!G30+'Pt 1 Summary of Data'!G31+'Pt 1 Summary of Data'!G32+'Pt 1 Summary of Data'!G34+'Pt 1 Summary of Data'!G35)-('Pt 1 Summary of Data'!H25+'Pt 1 Summary of Data'!H26+'Pt 1 Summary of Data'!H27+'Pt 1 Summary of Data'!H28+'Pt 1 Summary of Data'!H30+'Pt 1 Summary of Data'!H31+'Pt 1 Summary of Data'!H32+'Pt 1 Summary of Data'!H34+'Pt 1 Summary of Data'!H35)</f>
        <v>14400188.232090507</v>
      </c>
      <c r="F16" s="115">
        <f>+C16+D16+E16</f>
        <v>14400188.232090507</v>
      </c>
      <c r="G16" s="116">
        <f>+'Pt 1 Summary of Data'!I25+'Pt 1 Summary of Data'!I26+'Pt 1 Summary of Data'!I27+'Pt 1 Summary of Data'!I28+'Pt 1 Summary of Data'!I30+'Pt 1 Summary of Data'!I31+'Pt 1 Summary of Data'!I32+'Pt 1 Summary of Data'!I34+'Pt 1 Summary of Data'!I35</f>
        <v>14400188.232090507</v>
      </c>
      <c r="H16" s="109">
        <v>0</v>
      </c>
      <c r="I16" s="110">
        <v>0</v>
      </c>
      <c r="J16" s="115">
        <f>('Pt 1 Summary of Data'!K25+'Pt 1 Summary of Data'!K26+'Pt 1 Summary of Data'!K27+'Pt 1 Summary of Data'!K28+'Pt 1 Summary of Data'!K30+'Pt 1 Summary of Data'!K31+'Pt 1 Summary of Data'!K32+'Pt 1 Summary of Data'!K34+'Pt 1 Summary of Data'!K35)+('Pt 1 Summary of Data'!M25+'Pt 1 Summary of Data'!M26+'Pt 1 Summary of Data'!M27+'Pt 1 Summary of Data'!M28+'Pt 1 Summary of Data'!M30+'Pt 1 Summary of Data'!M31+'Pt 1 Summary of Data'!M32+'Pt 1 Summary of Data'!M34+'Pt 1 Summary of Data'!M35)-('Pt 1 Summary of Data'!N25+'Pt 1 Summary of Data'!N26+'Pt 1 Summary of Data'!N27+'Pt 1 Summary of Data'!N28+'Pt 1 Summary of Data'!N30+'Pt 1 Summary of Data'!N31+'Pt 1 Summary of Data'!N32+'Pt 1 Summary of Data'!N34+'Pt 1 Summary of Data'!N35)</f>
        <v>190565.92430975899</v>
      </c>
      <c r="K16" s="115">
        <f>+H16+I16+J16</f>
        <v>190565.92430975899</v>
      </c>
      <c r="L16" s="116">
        <f>+'Pt 1 Summary of Data'!O25+'Pt 1 Summary of Data'!O26+'Pt 1 Summary of Data'!O27+'Pt 1 Summary of Data'!O28+'Pt 1 Summary of Data'!O30+'Pt 1 Summary of Data'!O31+'Pt 1 Summary of Data'!O32+'Pt 1 Summary of Data'!O34+'Pt 1 Summary of Data'!O35</f>
        <v>190565.92430975899</v>
      </c>
      <c r="M16" s="109">
        <v>0</v>
      </c>
      <c r="N16" s="110">
        <v>0</v>
      </c>
      <c r="O16" s="115">
        <f>('Pt 1 Summary of Data'!Q26+'Pt 1 Summary of Data'!Q27+'Pt 1 Summary of Data'!Q25+'Pt 1 Summary of Data'!Q28+'Pt 1 Summary of Data'!Q30+'Pt 1 Summary of Data'!Q31+'Pt 1 Summary of Data'!Q32+'Pt 1 Summary of Data'!Q34+'Pt 1 Summary of Data'!Q35)+('Pt 1 Summary of Data'!S25+'Pt 1 Summary of Data'!S26+'Pt 1 Summary of Data'!S27+'Pt 1 Summary of Data'!S28+'Pt 1 Summary of Data'!S30+'Pt 1 Summary of Data'!S31+'Pt 1 Summary of Data'!S32+'Pt 1 Summary of Data'!S34+'Pt 1 Summary of Data'!S35)-('Pt 1 Summary of Data'!T25+'Pt 1 Summary of Data'!T26+'Pt 1 Summary of Data'!T27+'Pt 1 Summary of Data'!T28+'Pt 1 Summary of Data'!T30+'Pt 1 Summary of Data'!T31+'Pt 1 Summary of Data'!T32+'Pt 1 Summary of Data'!T34+'Pt 1 Summary of Data'!T35)</f>
        <v>1335276.8691209964</v>
      </c>
      <c r="P16" s="115">
        <f>+M16+N16+O16</f>
        <v>1335276.8691209964</v>
      </c>
      <c r="Q16" s="109">
        <v>0</v>
      </c>
      <c r="R16" s="110">
        <v>0</v>
      </c>
      <c r="S16" s="115"/>
      <c r="T16" s="115"/>
      <c r="U16" s="109">
        <v>0</v>
      </c>
      <c r="V16" s="110">
        <v>0</v>
      </c>
      <c r="W16" s="115"/>
      <c r="X16" s="115"/>
      <c r="Y16" s="109">
        <v>0</v>
      </c>
      <c r="Z16" s="110">
        <v>0</v>
      </c>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 t="shared" ref="C17:D17" si="3">C15-C16</f>
        <v>0</v>
      </c>
      <c r="D17" s="115">
        <f t="shared" si="3"/>
        <v>0</v>
      </c>
      <c r="E17" s="115">
        <f>E15-E16</f>
        <v>128209464.7679095</v>
      </c>
      <c r="F17" s="115">
        <f>F15-F16</f>
        <v>128209464.7679095</v>
      </c>
      <c r="G17" s="314"/>
      <c r="H17" s="114">
        <f t="shared" ref="H17:K17" si="4">H15-H16</f>
        <v>0</v>
      </c>
      <c r="I17" s="115">
        <f t="shared" si="4"/>
        <v>0</v>
      </c>
      <c r="J17" s="115">
        <f t="shared" si="4"/>
        <v>2499128.3956902414</v>
      </c>
      <c r="K17" s="115">
        <f t="shared" si="4"/>
        <v>2499128.3956902414</v>
      </c>
      <c r="L17" s="314"/>
      <c r="M17" s="114">
        <f t="shared" ref="M17:O17" si="5">M15-M16</f>
        <v>0</v>
      </c>
      <c r="N17" s="115">
        <f t="shared" si="5"/>
        <v>0</v>
      </c>
      <c r="O17" s="115">
        <f t="shared" si="5"/>
        <v>18167992.130879004</v>
      </c>
      <c r="P17" s="115">
        <f>P15-P16</f>
        <v>18167992.130879004</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121140063.76957804</v>
      </c>
      <c r="H19" s="347"/>
      <c r="I19" s="346"/>
      <c r="J19" s="346"/>
      <c r="K19" s="346"/>
      <c r="L19" s="107">
        <f>+L6+L7-L8-L9-L10</f>
        <v>2198788.3904104219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+'Pt 1 Summary of Data'!I44+'Pt 1 Summary of Data'!I45+'Pt 1 Summary of Data'!I46+'Pt 1 Summary of Data'!I47+'Pt 1 Summary of Data'!I49+'Pt 1 Summary of Data'!I50+'Pt 1 Summary of Data'!I51</f>
        <v>19288904.355863579</v>
      </c>
      <c r="H20" s="292"/>
      <c r="I20" s="288"/>
      <c r="J20" s="288"/>
      <c r="K20" s="288"/>
      <c r="L20" s="116">
        <f>+'Pt 1 Summary of Data'!O44+'Pt 1 Summary of Data'!O45+'Pt 1 Summary of Data'!O46+'Pt 1 Summary of Data'!O47+'Pt 1 Summary of Data'!O49+'Pt 1 Summary of Data'!O50+'Pt 1 Summary of Data'!O51</f>
        <v>267923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0.94486053731579955</v>
      </c>
      <c r="H21" s="292"/>
      <c r="I21" s="288"/>
      <c r="J21" s="288"/>
      <c r="K21" s="288"/>
      <c r="L21" s="255">
        <f>+L19/(L15-L16)</f>
        <v>0.87982209885744278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IF(G24&gt;G25,G24,G25)</f>
        <v>3846283.9430372845</v>
      </c>
      <c r="H23" s="292"/>
      <c r="I23" s="288"/>
      <c r="J23" s="288"/>
      <c r="K23" s="288"/>
      <c r="L23" s="116">
        <f>IF(L24&gt;L25,L24,L25)</f>
        <v>74973.851870707236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f>
        <v>-12219503.357532125</v>
      </c>
      <c r="H24" s="292"/>
      <c r="I24" s="288"/>
      <c r="J24" s="288"/>
      <c r="K24" s="288"/>
      <c r="L24" s="116">
        <f>+L15-L19-L16-L20</f>
        <v>32417.005279819423</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((0.03+G22)*(G15-G16))</f>
        <v>3846283.9430372845</v>
      </c>
      <c r="H25" s="292"/>
      <c r="I25" s="288"/>
      <c r="J25" s="288"/>
      <c r="K25" s="288"/>
      <c r="L25" s="116">
        <f>((0.03+L22)*(L15-L16))</f>
        <v>74973.851870707236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IF(G27&lt;G28,G27,G28)</f>
        <v>37535376.530991375</v>
      </c>
      <c r="H26" s="292"/>
      <c r="I26" s="288"/>
      <c r="J26" s="288"/>
      <c r="K26" s="288"/>
      <c r="L26" s="116">
        <f>IF(L27&lt;L28,L27,L28)</f>
        <v>533462.77618046617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37535376.530991375</v>
      </c>
      <c r="H27" s="292"/>
      <c r="I27" s="288"/>
      <c r="J27" s="288"/>
      <c r="K27" s="288"/>
      <c r="L27" s="116">
        <f>+L20+L23+L16</f>
        <v>533462.77618046617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(0.2+G22)*(G15-G16)+G16</f>
        <v>40042081.185672402</v>
      </c>
      <c r="H28" s="292"/>
      <c r="I28" s="288"/>
      <c r="J28" s="288"/>
      <c r="K28" s="288"/>
      <c r="L28" s="116">
        <f>(20%+L22)*(L15-L16)+(L16)</f>
        <v>690391.60344780725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0.2*(G15-G16)+G16</f>
        <v>40042081.185672402</v>
      </c>
      <c r="H29" s="292"/>
      <c r="I29" s="288"/>
      <c r="J29" s="288"/>
      <c r="K29" s="288"/>
      <c r="L29" s="116">
        <f>20%*(L15-L16)+(L16)</f>
        <v>690391.60344780725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105074276.46900862</v>
      </c>
      <c r="H30" s="292"/>
      <c r="I30" s="288"/>
      <c r="J30" s="288"/>
      <c r="K30" s="288"/>
      <c r="L30" s="116">
        <f>L15-L26</f>
        <v>2156231.5438195341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IF(G27&lt;G29,G27,G29)</f>
        <v>37535376.530991375</v>
      </c>
      <c r="H31" s="292"/>
      <c r="I31" s="288"/>
      <c r="J31" s="288"/>
      <c r="K31" s="288"/>
      <c r="L31" s="116">
        <f>IF(L27&lt;L29,L27,L29)</f>
        <v>533462.77618046617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G15-G31</f>
        <v>105074276.46900862</v>
      </c>
      <c r="H32" s="292"/>
      <c r="I32" s="288"/>
      <c r="J32" s="288"/>
      <c r="K32" s="288"/>
      <c r="L32" s="116">
        <f>L15-L31</f>
        <v>2156231.5438195341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G19/G32</f>
        <v>1.1528993378822645</v>
      </c>
      <c r="H33" s="354"/>
      <c r="I33" s="355"/>
      <c r="J33" s="355"/>
      <c r="K33" s="355"/>
      <c r="L33" s="375">
        <f>L19/L32</f>
        <v>1.0197366774977714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f>+'[1]3 - RC Payment or Charge Calc'!$D$12</f>
        <v>8754733.0581641831</v>
      </c>
      <c r="H34" s="292"/>
      <c r="I34" s="288"/>
      <c r="J34" s="288"/>
      <c r="K34" s="288"/>
      <c r="L34" s="116">
        <f>+'[1]3 - RC Payment or Charge Calc'!$E$12</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f>+'[1]3 - RC Payment or Charge Calc'!$D$13</f>
        <v>8754733.0581641812</v>
      </c>
      <c r="H35" s="292"/>
      <c r="I35" s="288"/>
      <c r="J35" s="288"/>
      <c r="K35" s="288"/>
      <c r="L35" s="116">
        <f>+'[1]3 - RC Payment or Charge Calc'!$E$13</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f>+'Pt 1 Summary of Data'!E60+'Pt 1 Summary of Data'!G60-'Pt 1 Summary of Data'!H60</f>
        <v>33293</v>
      </c>
      <c r="F37" s="256">
        <f>+C37+D37+E37</f>
        <v>33293</v>
      </c>
      <c r="G37" s="312"/>
      <c r="H37" s="121">
        <v>0</v>
      </c>
      <c r="I37" s="122">
        <v>0</v>
      </c>
      <c r="J37" s="256">
        <f>+'Pt 1 Summary of Data'!K60+'Pt 1 Summary of Data'!M60-'Pt 1 Summary of Data'!N60</f>
        <v>574.75</v>
      </c>
      <c r="K37" s="256">
        <f>+H37+I37+J37</f>
        <v>574.75</v>
      </c>
      <c r="L37" s="312"/>
      <c r="M37" s="121">
        <v>0</v>
      </c>
      <c r="N37" s="122">
        <v>0</v>
      </c>
      <c r="O37" s="256">
        <f>+'Pt 1 Summary of Data'!Q60+'Pt 1 Summary of Data'!S60-'Pt 1 Summary of Data'!T60</f>
        <v>3421.9166666666665</v>
      </c>
      <c r="P37" s="256">
        <f>+M37+N37+O37</f>
        <v>3421.9166666666665</v>
      </c>
      <c r="Q37" s="121">
        <v>0</v>
      </c>
      <c r="R37" s="122">
        <v>0</v>
      </c>
      <c r="S37" s="256"/>
      <c r="T37" s="256"/>
      <c r="U37" s="121">
        <v>0</v>
      </c>
      <c r="V37" s="122">
        <v>0</v>
      </c>
      <c r="W37" s="256"/>
      <c r="X37" s="256"/>
      <c r="Y37" s="121">
        <v>0</v>
      </c>
      <c r="Z37" s="122">
        <v>0</v>
      </c>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1.467312E-2</v>
      </c>
      <c r="G38" s="353"/>
      <c r="H38" s="351"/>
      <c r="I38" s="352"/>
      <c r="J38" s="352"/>
      <c r="K38" s="267">
        <v>0</v>
      </c>
      <c r="L38" s="353"/>
      <c r="M38" s="351"/>
      <c r="N38" s="352"/>
      <c r="O38" s="352"/>
      <c r="P38" s="267">
        <v>4.6468000000000002E-2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381">
        <v>758.88588525130911</v>
      </c>
      <c r="G39" s="311"/>
      <c r="H39" s="292"/>
      <c r="I39" s="288"/>
      <c r="J39" s="288"/>
      <c r="K39" s="110">
        <v>895.97912829957033</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1.467312E-2</v>
      </c>
      <c r="G41" s="311"/>
      <c r="H41" s="292"/>
      <c r="I41" s="288"/>
      <c r="J41" s="288"/>
      <c r="K41" s="260">
        <f>K38*K40</f>
        <v>0</v>
      </c>
      <c r="L41" s="311"/>
      <c r="M41" s="292"/>
      <c r="N41" s="288"/>
      <c r="O41" s="288"/>
      <c r="P41" s="260">
        <f>P38*P40</f>
        <v>4.6468000000000002E-2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v>
      </c>
      <c r="D44" s="260">
        <v>0</v>
      </c>
      <c r="E44" s="260">
        <f>(E6+E7-E8-E9-E10-E11)/(E15-E16)</f>
        <v>0.87657592920194161</v>
      </c>
      <c r="F44" s="260">
        <f>F12/F17</f>
        <v>0.87657592920194161</v>
      </c>
      <c r="G44" s="311"/>
      <c r="H44" s="262">
        <v>0</v>
      </c>
      <c r="I44" s="260">
        <v>0</v>
      </c>
      <c r="J44" s="260">
        <f>(J6+J7-J8-J9-J10-J11)/(J15-J16)</f>
        <v>0.87982209885744278</v>
      </c>
      <c r="K44" s="260">
        <f>K12/K17</f>
        <v>0.87982209885744278</v>
      </c>
      <c r="L44" s="311"/>
      <c r="M44" s="262">
        <v>0</v>
      </c>
      <c r="N44" s="260">
        <v>0</v>
      </c>
      <c r="O44" s="260">
        <f>(O6+O7-O8-O9-O10-O11)/(O15-O16)</f>
        <v>0.91577964429552594</v>
      </c>
      <c r="P44" s="260">
        <f>P12/P17</f>
        <v>0.91577964429552594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+F41</f>
        <v>1.467312E-2</v>
      </c>
      <c r="G46" s="311"/>
      <c r="H46" s="292"/>
      <c r="I46" s="288"/>
      <c r="J46" s="288"/>
      <c r="K46" s="260">
        <f>+K41</f>
        <v>0</v>
      </c>
      <c r="L46" s="311"/>
      <c r="M46" s="292"/>
      <c r="N46" s="288"/>
      <c r="O46" s="288"/>
      <c r="P46" s="260">
        <f>+P41</f>
        <v>4.6468000000000002E-2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
        <v>0.87657592920194161</v>
      </c>
      <c r="G47" s="311"/>
      <c r="H47" s="292"/>
      <c r="I47" s="288"/>
      <c r="J47" s="288"/>
      <c r="K47" s="260">
        <f>+K44</f>
        <v>0.87982209885744278</v>
      </c>
      <c r="L47" s="311"/>
      <c r="M47" s="292"/>
      <c r="N47" s="288"/>
      <c r="O47" s="288"/>
      <c r="P47" s="260">
        <f>+P44</f>
        <v>0.91577964429552594</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0.87657592920194161</v>
      </c>
      <c r="G50" s="311"/>
      <c r="H50" s="293"/>
      <c r="I50" s="289"/>
      <c r="J50" s="289"/>
      <c r="K50" s="260">
        <f>+K47</f>
        <v>0.87982209885744278</v>
      </c>
      <c r="L50" s="311"/>
      <c r="M50" s="293"/>
      <c r="N50" s="289"/>
      <c r="O50" s="289"/>
      <c r="P50" s="260">
        <f>+P47</f>
        <v>0.91577964429552594</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+F15-E16</f>
        <v>128209464.7679095</v>
      </c>
      <c r="G51" s="311"/>
      <c r="H51" s="292"/>
      <c r="I51" s="288"/>
      <c r="J51" s="288"/>
      <c r="K51" s="115">
        <f>J15-J16</f>
        <v>2499128.3956902414</v>
      </c>
      <c r="L51" s="311"/>
      <c r="M51" s="292"/>
      <c r="N51" s="288"/>
      <c r="O51" s="288"/>
      <c r="P51" s="115">
        <f>+O15-O16</f>
        <v>18167992.130879004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IF(F50&lt;F49,(F49-F50)*F51,0)</f>
        <v>0</v>
      </c>
      <c r="G52" s="311"/>
      <c r="H52" s="292"/>
      <c r="I52" s="288"/>
      <c r="J52" s="288"/>
      <c r="K52" s="115">
        <f>IF(K50&lt;K49,(K49-K50)*K51,0)</f>
        <v>0</v>
      </c>
      <c r="L52" s="311"/>
      <c r="M52" s="292"/>
      <c r="N52" s="288"/>
      <c r="O52" s="288"/>
      <c r="P52" s="115">
        <f>IF(P50&lt;P49,(P49-P50)*P51,0)</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29840</v>
      </c>
      <c r="D4" s="149">
        <v>684</v>
      </c>
      <c r="E4" s="149">
        <v>1655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501</v>
      </c>
      <c r="D23" s="383"/>
      <c r="E23" s="383"/>
      <c r="F23" s="383"/>
      <c r="G23" s="383"/>
      <c r="H23" s="383"/>
      <c r="I23" s="383"/>
      <c r="J23" s="383"/>
      <c r="K23" s="384"/>
    </row>
    <row r="24" spans="2:12" s="5" customFormat="1" ht="100.15" customHeight="1" x14ac:dyDescent="0.2">
      <c r="B24" s="101" t="s">
        <v>213</v>
      </c>
      <c r="C24" s="385" t="s">
        <v>501</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Marchfeld, Jordan</cp:lastModifiedBy>
  <cp:lastPrinted>2014-12-18T11:24:00Z</cp:lastPrinted>
  <dcterms:created xsi:type="dcterms:W3CDTF">2012-03-15T16:14:51Z</dcterms:created>
  <dcterms:modified xsi:type="dcterms:W3CDTF">2015-07-29T15:33:36Z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