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For Alisa\MLR 2015\SUBMITTED 20160721\"/>
    </mc:Choice>
  </mc:AlternateContent>
  <workbookProtection lockStructure="1"/>
  <bookViews>
    <workbookView xWindow="0" yWindow="0" windowWidth="28800" windowHeight="1243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 r:id="rId13"/>
    <externalReference r:id="rId14"/>
    <externalReference r:id="rId15"/>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L59" i="10" l="1"/>
  <c r="L60" i="10"/>
  <c r="G60" i="10"/>
  <c r="G59" i="10" l="1"/>
  <c r="AS45" i="18" l="1"/>
  <c r="AS46" i="18"/>
  <c r="P46" i="18"/>
  <c r="P45" i="18" l="1"/>
  <c r="P47" i="18"/>
  <c r="AS47" i="18"/>
  <c r="J14" i="4" l="1"/>
  <c r="AS23" i="18" l="1"/>
  <c r="J35" i="4" l="1"/>
  <c r="D35" i="4"/>
  <c r="I11" i="10" l="1"/>
  <c r="D11" i="10"/>
  <c r="AU59" i="4" l="1"/>
  <c r="AU58" i="4"/>
  <c r="AU57" i="4"/>
  <c r="AU56" i="4"/>
  <c r="AT59" i="4"/>
  <c r="AT58" i="4"/>
  <c r="AT57" i="4"/>
  <c r="AT56" i="4"/>
  <c r="AS59" i="4"/>
  <c r="AS58" i="4"/>
  <c r="AS57" i="4"/>
  <c r="AS56" i="4"/>
  <c r="P59" i="4"/>
  <c r="P58" i="4"/>
  <c r="P57" i="4"/>
  <c r="P56" i="4"/>
  <c r="J59" i="4"/>
  <c r="J58" i="4"/>
  <c r="J57" i="4"/>
  <c r="J56" i="4"/>
  <c r="D59" i="4"/>
  <c r="D57" i="4"/>
  <c r="D56" i="4"/>
  <c r="H11" i="16" l="1"/>
  <c r="G11" i="16"/>
  <c r="F11" i="16"/>
  <c r="H4" i="16"/>
  <c r="G4" i="16"/>
  <c r="F4" i="16"/>
  <c r="N16" i="10"/>
  <c r="N15" i="10"/>
  <c r="N7" i="10"/>
  <c r="N5" i="10"/>
  <c r="N6" i="10" s="1"/>
  <c r="I16" i="10"/>
  <c r="I15" i="10"/>
  <c r="I10" i="10"/>
  <c r="I7" i="10"/>
  <c r="I5" i="10"/>
  <c r="I6" i="10" s="1"/>
  <c r="W50" i="10"/>
  <c r="X50" i="10" s="1"/>
  <c r="V50" i="10"/>
  <c r="U50" i="10"/>
  <c r="S50" i="10"/>
  <c r="T50" i="10" s="1"/>
  <c r="R50" i="10"/>
  <c r="Q50" i="10"/>
  <c r="D16" i="10"/>
  <c r="D15" i="10"/>
  <c r="D10" i="10"/>
  <c r="D9" i="10"/>
  <c r="D8" i="10"/>
  <c r="D7" i="10"/>
  <c r="D5" i="10"/>
  <c r="D6" i="10" s="1"/>
  <c r="Q59" i="4"/>
  <c r="O59" i="4"/>
  <c r="E59" i="4"/>
  <c r="I59" i="4" s="1"/>
  <c r="Q58" i="4"/>
  <c r="O58" i="4"/>
  <c r="Q57" i="4"/>
  <c r="O57" i="4"/>
  <c r="E57" i="4"/>
  <c r="I57" i="4" s="1"/>
  <c r="Q56" i="4"/>
  <c r="E4" i="16" s="1"/>
  <c r="O56" i="4"/>
  <c r="E56" i="4"/>
  <c r="I56" i="4" s="1"/>
  <c r="O53" i="4"/>
  <c r="I53" i="4"/>
  <c r="O52" i="4"/>
  <c r="I52" i="4"/>
  <c r="AU51" i="4"/>
  <c r="AS51" i="4"/>
  <c r="P51" i="4"/>
  <c r="Q51" i="4" s="1"/>
  <c r="J51" i="4"/>
  <c r="K51" i="4" s="1"/>
  <c r="O51" i="4" s="1"/>
  <c r="D51" i="4"/>
  <c r="E51" i="4" s="1"/>
  <c r="I51" i="4" s="1"/>
  <c r="O50" i="4"/>
  <c r="I50" i="4"/>
  <c r="O49" i="4"/>
  <c r="I49" i="4"/>
  <c r="O47" i="4"/>
  <c r="I47" i="4"/>
  <c r="O46" i="4"/>
  <c r="I46" i="4"/>
  <c r="O45" i="4"/>
  <c r="I45" i="4"/>
  <c r="O44" i="4"/>
  <c r="I44" i="4"/>
  <c r="O42" i="4"/>
  <c r="I42" i="4"/>
  <c r="P41" i="4"/>
  <c r="O41" i="4"/>
  <c r="J41" i="4"/>
  <c r="I41" i="4"/>
  <c r="D41" i="4"/>
  <c r="O40" i="4"/>
  <c r="I40" i="4"/>
  <c r="O39" i="4"/>
  <c r="I39" i="4"/>
  <c r="O38" i="4"/>
  <c r="I38" i="4"/>
  <c r="O37" i="4"/>
  <c r="I37" i="4"/>
  <c r="C4" i="16" l="1"/>
  <c r="K57" i="4"/>
  <c r="K58" i="4"/>
  <c r="K59" i="4"/>
  <c r="K56" i="4"/>
  <c r="D4" i="16" s="1"/>
  <c r="K35" i="4"/>
  <c r="O35" i="4" s="1"/>
  <c r="E35" i="4"/>
  <c r="I35" i="4" s="1"/>
  <c r="J34" i="4"/>
  <c r="K34" i="4" s="1"/>
  <c r="O34" i="4" s="1"/>
  <c r="D34" i="4"/>
  <c r="E34" i="4" s="1"/>
  <c r="I34" i="4" s="1"/>
  <c r="O32" i="4"/>
  <c r="I32" i="4"/>
  <c r="AS31" i="4"/>
  <c r="Q31" i="4"/>
  <c r="P31" i="4"/>
  <c r="K31" i="4"/>
  <c r="O31" i="4" s="1"/>
  <c r="J31" i="4"/>
  <c r="E31" i="4"/>
  <c r="I31" i="4" s="1"/>
  <c r="D31" i="4"/>
  <c r="O30" i="4"/>
  <c r="I30" i="4"/>
  <c r="K28" i="4"/>
  <c r="O28" i="4" s="1"/>
  <c r="I28" i="4"/>
  <c r="E28" i="4"/>
  <c r="K27" i="4"/>
  <c r="O27" i="4" s="1"/>
  <c r="E27" i="4"/>
  <c r="I27" i="4" s="1"/>
  <c r="J26" i="4"/>
  <c r="K26" i="4" s="1"/>
  <c r="O26" i="4" s="1"/>
  <c r="D26" i="4"/>
  <c r="E26" i="4" s="1"/>
  <c r="I26" i="4" s="1"/>
  <c r="K25" i="4"/>
  <c r="O25" i="4" s="1"/>
  <c r="E25" i="4"/>
  <c r="I25" i="4" s="1"/>
  <c r="AS15" i="4"/>
  <c r="AU14" i="4"/>
  <c r="AS14" i="4"/>
  <c r="K14" i="4"/>
  <c r="D14" i="4"/>
  <c r="E14" i="4" s="1"/>
  <c r="I14" i="4" s="1"/>
  <c r="AU13" i="4"/>
  <c r="AS13" i="4"/>
  <c r="Q13" i="4"/>
  <c r="P13" i="4"/>
  <c r="K13" i="4"/>
  <c r="O13" i="4" s="1"/>
  <c r="J13" i="4"/>
  <c r="E13" i="4"/>
  <c r="I13" i="4" s="1"/>
  <c r="D13" i="4"/>
  <c r="E58" i="18"/>
  <c r="D58" i="18"/>
  <c r="O57" i="18"/>
  <c r="I57" i="18"/>
  <c r="O56" i="18"/>
  <c r="I56" i="18"/>
  <c r="O53" i="18"/>
  <c r="I53" i="18"/>
  <c r="O52" i="18"/>
  <c r="I52" i="18"/>
  <c r="O51" i="18"/>
  <c r="I51" i="18"/>
  <c r="O49" i="18"/>
  <c r="I49" i="18"/>
  <c r="O46" i="18"/>
  <c r="I46" i="18"/>
  <c r="O45" i="18"/>
  <c r="I45" i="18"/>
  <c r="O42" i="18"/>
  <c r="I42" i="18"/>
  <c r="O39" i="18"/>
  <c r="I39" i="18"/>
  <c r="O36" i="18"/>
  <c r="I36" i="18"/>
  <c r="O35" i="18"/>
  <c r="I35" i="18"/>
  <c r="O31" i="18"/>
  <c r="I31" i="18"/>
  <c r="AU28" i="18"/>
  <c r="AT28" i="18"/>
  <c r="AS28" i="18"/>
  <c r="P28" i="18"/>
  <c r="J28" i="18"/>
  <c r="D28" i="18"/>
  <c r="Q27" i="18"/>
  <c r="K27" i="18"/>
  <c r="O27" i="18" s="1"/>
  <c r="E27" i="18"/>
  <c r="I27" i="18" s="1"/>
  <c r="AU26" i="18"/>
  <c r="AT26" i="18"/>
  <c r="AS26" i="18"/>
  <c r="P26" i="18"/>
  <c r="J26" i="18"/>
  <c r="D26" i="18"/>
  <c r="Q24" i="18"/>
  <c r="K24" i="18"/>
  <c r="O24" i="18" s="1"/>
  <c r="E24" i="18"/>
  <c r="I24" i="18" s="1"/>
  <c r="AU23" i="18"/>
  <c r="AT23" i="18"/>
  <c r="P23" i="18"/>
  <c r="J23" i="18"/>
  <c r="D23" i="18"/>
  <c r="D20" i="18"/>
  <c r="E20" i="18" s="1"/>
  <c r="I20" i="18" s="1"/>
  <c r="O19" i="18"/>
  <c r="I19" i="18"/>
  <c r="O18" i="18"/>
  <c r="I18" i="18"/>
  <c r="K16" i="18"/>
  <c r="O16" i="18" s="1"/>
  <c r="J16" i="18"/>
  <c r="E16" i="18"/>
  <c r="I16" i="18" s="1"/>
  <c r="D16" i="18"/>
  <c r="E15" i="18"/>
  <c r="I15" i="18" s="1"/>
  <c r="D15" i="18"/>
  <c r="O14" i="18"/>
  <c r="I14" i="18"/>
  <c r="O13" i="18"/>
  <c r="I13" i="18"/>
  <c r="O11" i="18"/>
  <c r="I11" i="18"/>
  <c r="O10" i="18"/>
  <c r="I10" i="18"/>
  <c r="K7" i="18"/>
  <c r="O7" i="18" s="1"/>
  <c r="E7" i="18"/>
  <c r="I7" i="18" s="1"/>
  <c r="D7" i="18"/>
  <c r="K6" i="18"/>
  <c r="O6" i="18" s="1"/>
  <c r="E6" i="18"/>
  <c r="I6" i="18" s="1"/>
  <c r="D6" i="18"/>
  <c r="AU5" i="18"/>
  <c r="AS5" i="18"/>
  <c r="P5" i="18"/>
  <c r="Q5" i="18" s="1"/>
  <c r="K5" i="18"/>
  <c r="O5" i="18" s="1"/>
  <c r="J5" i="18"/>
  <c r="E5" i="18"/>
  <c r="I5" i="18" s="1"/>
  <c r="D5" i="18"/>
  <c r="O14" i="4" l="1"/>
  <c r="L58" i="10"/>
  <c r="G58" i="10"/>
  <c r="M45" i="10"/>
  <c r="P41" i="10"/>
  <c r="O38" i="10"/>
  <c r="P38" i="10" s="1"/>
  <c r="K41" i="10"/>
  <c r="F41" i="10"/>
  <c r="N17" i="10"/>
  <c r="M17" i="10"/>
  <c r="O16" i="10"/>
  <c r="L16" i="10"/>
  <c r="J16" i="10"/>
  <c r="G16" i="10"/>
  <c r="E16" i="10"/>
  <c r="N12" i="10"/>
  <c r="M12" i="10"/>
  <c r="J11" i="10"/>
  <c r="K11" i="10" s="1"/>
  <c r="L10" i="10"/>
  <c r="J10" i="10"/>
  <c r="K10" i="10" s="1"/>
  <c r="E11" i="10"/>
  <c r="F11" i="10" s="1"/>
  <c r="G10" i="10"/>
  <c r="E10" i="10"/>
  <c r="F10" i="10" s="1"/>
  <c r="G9" i="10"/>
  <c r="E9" i="10"/>
  <c r="F9" i="10" s="1"/>
  <c r="E8" i="10"/>
  <c r="F8" i="10" s="1"/>
  <c r="AU5" i="4"/>
  <c r="AT5" i="4"/>
  <c r="AS5" i="4"/>
  <c r="AC5" i="4"/>
  <c r="AB5" i="4"/>
  <c r="AA5" i="4"/>
  <c r="Z5" i="4"/>
  <c r="Y5" i="4"/>
  <c r="X5" i="4"/>
  <c r="W5" i="4"/>
  <c r="V5" i="4"/>
  <c r="U5" i="4"/>
  <c r="T5" i="4"/>
  <c r="S5" i="4"/>
  <c r="R5" i="4"/>
  <c r="Q5" i="4"/>
  <c r="O7" i="10" s="1"/>
  <c r="P5" i="4"/>
  <c r="O5" i="4"/>
  <c r="N5" i="4"/>
  <c r="M5" i="4"/>
  <c r="L5" i="4"/>
  <c r="K5" i="4"/>
  <c r="J5" i="4"/>
  <c r="I5" i="4"/>
  <c r="H5" i="4"/>
  <c r="G5" i="4"/>
  <c r="F5" i="4"/>
  <c r="E5" i="4"/>
  <c r="D5" i="4"/>
  <c r="G7" i="10" l="1"/>
  <c r="F16" i="10"/>
  <c r="P16" i="10"/>
  <c r="K16" i="10"/>
  <c r="L15" i="10"/>
  <c r="N45" i="10"/>
  <c r="O15" i="10"/>
  <c r="E15" i="10"/>
  <c r="P7" i="10"/>
  <c r="J15" i="10"/>
  <c r="L7" i="10"/>
  <c r="G15" i="10"/>
  <c r="E7" i="10"/>
  <c r="J7" i="10"/>
  <c r="K15" i="10" l="1"/>
  <c r="F15" i="10"/>
  <c r="O17" i="10"/>
  <c r="P52" i="10"/>
  <c r="P15" i="10"/>
  <c r="P17" i="10" s="1"/>
  <c r="K7" i="10"/>
  <c r="F7" i="10"/>
  <c r="AU55" i="18" l="1"/>
  <c r="AU22" i="4" s="1"/>
  <c r="AT55" i="18"/>
  <c r="AT22" i="4" s="1"/>
  <c r="AS55" i="18"/>
  <c r="AS22" i="4" s="1"/>
  <c r="AU54" i="18"/>
  <c r="AU12" i="4" s="1"/>
  <c r="AT54" i="18"/>
  <c r="AT12" i="4" s="1"/>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G22" i="4" s="1"/>
  <c r="F55" i="18"/>
  <c r="F22" i="4" s="1"/>
  <c r="E55" i="18"/>
  <c r="E22" i="4" s="1"/>
  <c r="D55" i="18"/>
  <c r="D2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O54" i="18"/>
  <c r="O12" i="4" s="1"/>
  <c r="L6" i="10" s="1"/>
  <c r="N54" i="18"/>
  <c r="N12" i="4" s="1"/>
  <c r="M54" i="18"/>
  <c r="M12" i="4" s="1"/>
  <c r="L54" i="18"/>
  <c r="L12" i="4" s="1"/>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G6" i="10" l="1"/>
  <c r="J6" i="10"/>
  <c r="K6" i="10" s="1"/>
  <c r="E6" i="10"/>
  <c r="F6" i="10" s="1"/>
  <c r="D17" i="10" s="1"/>
  <c r="L24" i="10"/>
  <c r="L23" i="10"/>
  <c r="L27" i="10"/>
  <c r="L32" i="10"/>
  <c r="L19" i="10"/>
  <c r="L20" i="10"/>
  <c r="F17" i="10" l="1"/>
  <c r="E38" i="10"/>
  <c r="E12" i="10"/>
  <c r="E17" i="10"/>
  <c r="C17" i="10"/>
  <c r="D12" i="10"/>
  <c r="D45" i="10" s="1"/>
  <c r="C12" i="10"/>
  <c r="H12" i="10"/>
  <c r="I17" i="10"/>
  <c r="K17" i="10"/>
  <c r="H17" i="10"/>
  <c r="J38" i="10"/>
  <c r="L22" i="10"/>
  <c r="I12" i="10"/>
  <c r="J17" i="10"/>
  <c r="J12" i="10"/>
  <c r="H45" i="10" l="1"/>
  <c r="C45" i="10"/>
  <c r="E45" i="10"/>
  <c r="F38" i="10"/>
  <c r="F12" i="10"/>
  <c r="I45" i="10"/>
  <c r="K12" i="10"/>
  <c r="L30" i="10"/>
  <c r="L21" i="10"/>
  <c r="J45" i="10"/>
  <c r="K38" i="10"/>
  <c r="L26" i="10" l="1"/>
  <c r="L31" i="10"/>
  <c r="F52" i="10"/>
  <c r="F45" i="10"/>
  <c r="F39" i="10"/>
  <c r="F42" i="10" s="1"/>
  <c r="K45" i="10"/>
  <c r="K52" i="10"/>
  <c r="K39" i="10"/>
  <c r="K42" i="10" s="1"/>
  <c r="F47" i="10" l="1"/>
  <c r="F48" i="10" s="1"/>
  <c r="F51" i="10" s="1"/>
  <c r="F53" i="10" s="1"/>
  <c r="C11" i="16" s="1"/>
  <c r="L29" i="10"/>
  <c r="L25" i="10"/>
  <c r="K47" i="10"/>
  <c r="K48" i="10" s="1"/>
  <c r="K51" i="10" s="1"/>
  <c r="K53" i="10" s="1"/>
  <c r="D11" i="16" s="1"/>
  <c r="L28" i="10" l="1"/>
  <c r="L33" i="10"/>
  <c r="L34" i="10" l="1"/>
  <c r="L36" i="10" l="1"/>
  <c r="L35" i="10"/>
  <c r="G36" i="10" l="1"/>
  <c r="G35" i="10"/>
  <c r="Q46" i="18" l="1"/>
  <c r="Q54" i="18" s="1"/>
  <c r="Q12" i="4" s="1"/>
  <c r="O6" i="10" s="1"/>
  <c r="P6" i="10" l="1"/>
  <c r="O12" i="10"/>
  <c r="O45" i="10" s="1"/>
  <c r="P12" i="10" l="1"/>
  <c r="P45" i="10" s="1"/>
  <c r="P39" i="10"/>
  <c r="P42" i="10" s="1"/>
  <c r="P47" i="10" l="1"/>
  <c r="P48" i="10" s="1"/>
  <c r="P51" i="10" s="1"/>
  <c r="P53" i="10" s="1"/>
  <c r="E11" i="16" s="1"/>
  <c r="P54" i="18" l="1"/>
  <c r="P12" i="4" s="1"/>
  <c r="I58" i="18" l="1"/>
  <c r="G8" i="10" s="1"/>
  <c r="G27" i="10" l="1"/>
  <c r="G19" i="10"/>
  <c r="G32" i="10"/>
  <c r="G23" i="10"/>
  <c r="G20" i="10"/>
  <c r="G24" i="10"/>
  <c r="G22" i="10" l="1"/>
  <c r="G30" i="10" l="1"/>
  <c r="G31" i="10" s="1"/>
  <c r="G29" i="10" s="1"/>
  <c r="G33" i="10" s="1"/>
  <c r="G34" i="10" s="1"/>
  <c r="G21" i="10"/>
  <c r="G26" i="10" s="1"/>
  <c r="G25" i="10" s="1"/>
  <c r="G28" i="10" s="1"/>
  <c r="AS54" i="18" l="1"/>
  <c r="AS12" i="4" s="1"/>
</calcChain>
</file>

<file path=xl/sharedStrings.xml><?xml version="1.0" encoding="utf-8"?>
<sst xmlns="http://schemas.openxmlformats.org/spreadsheetml/2006/main" count="663" uniqueCount="529">
  <si>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</si>
  <si>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</si>
  <si>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</si>
  <si>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</si>
  <si>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</si>
  <si>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</si>
  <si>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</si>
  <si>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</si>
  <si>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</si>
  <si>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</si>
  <si>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</si>
  <si>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</si>
  <si>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</si>
  <si>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</si>
  <si>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</si>
  <si>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</si>
  <si>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</si>
  <si>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</si>
  <si>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</si>
  <si>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</si>
  <si>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</si>
  <si>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</si>
  <si>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</si>
  <si>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</si>
  <si>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</si>
  <si>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</si>
  <si>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</si>
  <si>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</si>
  <si>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</si>
  <si>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</si>
  <si>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</si>
  <si>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</si>
  <si>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</si>
  <si>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</si>
  <si>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</si>
  <si>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</si>
  <si>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</si>
  <si>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</si>
  <si>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</si>
  <si>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</si>
  <si>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</si>
  <si>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</si>
  <si>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</si>
  <si>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</si>
  <si>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</si>
  <si>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</si>
  <si>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</si>
  <si>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</si>
  <si>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</si>
  <si>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</si>
  <si>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</si>
  <si>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</si>
  <si>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</si>
  <si>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</si>
  <si>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</si>
  <si>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</si>
  <si>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</si>
  <si>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</si>
  <si>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</si>
  <si>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</si>
  <si>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</si>
  <si>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</si>
  <si>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</si>
  <si>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</si>
  <si>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</si>
  <si>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</si>
  <si>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</si>
  <si>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</si>
  <si>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</si>
  <si>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</si>
  <si>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</si>
  <si>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</si>
  <si>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</si>
  <si>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</si>
  <si>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</si>
  <si>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</si>
  <si>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</si>
  <si>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</si>
  <si>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</si>
  <si>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</si>
  <si>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</si>
  <si>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</si>
  <si>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</si>
  <si>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</si>
  <si>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</si>
  <si>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</si>
  <si>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</si>
  <si>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</si>
  <si>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</si>
  <si>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</si>
  <si>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</si>
  <si>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</si>
  <si>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</si>
  <si>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</si>
  <si>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</si>
  <si>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</si>
  <si>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</si>
  <si>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</si>
  <si>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</si>
  <si>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</si>
  <si>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</si>
  <si>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</si>
  <si>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</si>
  <si>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</si>
  <si>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</si>
  <si>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</si>
  <si>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</si>
  <si>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</si>
  <si>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</si>
  <si>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</si>
  <si>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</si>
  <si>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</si>
  <si>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</si>
  <si>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</si>
  <si>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</si>
  <si>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</si>
  <si>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</si>
  <si>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</si>
  <si>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</si>
  <si>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</si>
  <si>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</si>
  <si>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</si>
  <si>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</si>
  <si>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</si>
  <si>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</si>
  <si>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</si>
  <si>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</si>
  <si>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</si>
  <si>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</si>
  <si>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</si>
  <si>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</si>
  <si>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</si>
  <si>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</si>
  <si>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</si>
  <si>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</si>
  <si>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</si>
  <si>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</si>
  <si>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</si>
  <si>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</si>
  <si>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</si>
  <si>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</si>
  <si>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</si>
  <si>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</si>
  <si>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</si>
  <si>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</si>
  <si>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</si>
  <si>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</si>
  <si>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</si>
  <si>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</si>
  <si>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</si>
  <si>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</si>
  <si>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</si>
  <si>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</si>
  <si>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</si>
  <si>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</si>
  <si>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</si>
  <si>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</si>
  <si>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</si>
  <si>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</si>
  <si>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</si>
  <si>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</si>
  <si>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</si>
  <si>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</si>
  <si>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</si>
  <si>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</si>
  <si>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</si>
  <si>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</si>
  <si>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</si>
  <si>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</si>
  <si>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</si>
  <si>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</si>
  <si>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</si>
  <si>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</si>
  <si>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</si>
  <si>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</si>
  <si>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</si>
  <si>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</si>
  <si>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</si>
  <si>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</si>
  <si>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</si>
  <si>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</si>
  <si>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</si>
  <si>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</si>
  <si>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</si>
  <si>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</si>
  <si>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</si>
  <si>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</si>
  <si>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</si>
  <si>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</si>
  <si>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</si>
  <si>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</si>
  <si>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</si>
  <si>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</si>
  <si>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</si>
  <si>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</si>
  <si>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</si>
  <si>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</si>
  <si>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</si>
  <si>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</si>
  <si>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</si>
  <si>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</si>
  <si>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</si>
  <si>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</si>
  <si>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</si>
  <si>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</si>
  <si>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</si>
  <si>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</si>
  <si>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</si>
  <si>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</si>
  <si>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</si>
  <si>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</si>
  <si>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</si>
  <si>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</si>
  <si>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</si>
  <si>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</si>
  <si>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</si>
  <si>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</si>
  <si>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</si>
  <si>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</si>
  <si>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</si>
  <si>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</si>
  <si>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</si>
  <si>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</si>
  <si>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</si>
  <si>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</si>
  <si>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</si>
  <si>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</si>
  <si>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</si>
  <si>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</si>
  <si>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</si>
  <si>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</si>
  <si>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</si>
  <si>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</si>
  <si>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</si>
  <si>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</si>
  <si>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</si>
  <si>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</si>
  <si>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</si>
  <si>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</si>
  <si>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</si>
  <si>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</si>
  <si>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</si>
  <si>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</si>
  <si>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</si>
  <si>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</si>
  <si>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</si>
  <si>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</si>
  <si>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</si>
  <si>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</si>
  <si>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</si>
  <si>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</si>
  <si>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</si>
  <si>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</si>
  <si>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</si>
  <si>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</si>
  <si>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</si>
  <si>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</si>
  <si>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</si>
  <si>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</si>
  <si>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</si>
  <si>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</si>
  <si>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</si>
  <si>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</si>
  <si>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</si>
  <si>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</si>
  <si>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</si>
  <si>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</si>
  <si>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</si>
  <si>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</si>
  <si>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</si>
  <si>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</si>
  <si>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</si>
  <si>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</si>
  <si>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</si>
  <si>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</si>
  <si>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</si>
  <si>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</si>
  <si>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</si>
  <si>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</si>
  <si>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</si>
  <si>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</si>
  <si>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</si>
  <si>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</si>
  <si>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</si>
  <si>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</si>
  <si>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</si>
  <si>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</si>
  <si>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</si>
  <si>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</si>
  <si>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</si>
  <si>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</si>
  <si>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</si>
  <si>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</si>
  <si>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</si>
  <si>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</si>
  <si>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</si>
  <si>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</si>
  <si>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</si>
  <si>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</si>
  <si>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</si>
  <si>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</si>
  <si>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</si>
  <si>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</si>
  <si>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</si>
  <si>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</si>
  <si>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</si>
  <si>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</si>
  <si>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</si>
  <si>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</si>
  <si>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</si>
  <si>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</si>
  <si>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</si>
  <si>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</si>
  <si>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</si>
  <si>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</si>
  <si>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</si>
  <si>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</si>
  <si>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</si>
  <si>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</si>
  <si>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</si>
  <si>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</si>
  <si>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</si>
  <si>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</si>
  <si>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</si>
  <si>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</si>
  <si>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</si>
  <si>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</si>
  <si>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</si>
  <si>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</si>
  <si>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</si>
  <si>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</si>
  <si>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</si>
  <si>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</si>
  <si>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</si>
  <si>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</si>
  <si>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</si>
  <si>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</si>
  <si>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</si>
  <si>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</si>
  <si>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</si>
  <si>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</si>
  <si>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</si>
  <si>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</si>
  <si>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</si>
  <si>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</si>
  <si>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</si>
  <si>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</si>
  <si>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</si>
  <si>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</si>
  <si>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</si>
  <si>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</si>
  <si>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</si>
  <si>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</si>
  <si>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</si>
  <si>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</si>
  <si>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</si>
  <si>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</si>
  <si>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</si>
  <si>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</si>
  <si>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</si>
  <si>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</si>
  <si>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</si>
  <si>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</si>
  <si>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</si>
  <si>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</si>
  <si>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</si>
  <si>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</si>
  <si>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</si>
  <si>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</si>
  <si>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</si>
  <si>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</si>
  <si>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</si>
  <si>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</si>
  <si>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</si>
  <si>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</si>
  <si>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</si>
  <si>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</si>
  <si>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</si>
  <si>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</si>
  <si>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</si>
  <si>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</si>
  <si>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</si>
  <si>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</si>
  <si>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</si>
  <si>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</si>
  <si>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</si>
  <si>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</si>
  <si>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</si>
  <si>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</si>
  <si>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</si>
  <si>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</si>
  <si>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</si>
  <si>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</si>
  <si>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</si>
  <si>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</si>
  <si>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</si>
  <si>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</si>
  <si>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</si>
  <si>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</si>
  <si>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</si>
  <si>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</si>
  <si>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</si>
  <si>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</si>
  <si>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</si>
  <si>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</si>
  <si>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</si>
  <si>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</si>
  <si>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</si>
  <si>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</si>
  <si>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</si>
  <si>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</si>
  <si>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</si>
  <si>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</si>
  <si>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</si>
  <si>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</si>
  <si>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</si>
  <si>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</si>
  <si>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</si>
  <si>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</si>
  <si>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</si>
  <si>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</si>
  <si>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</si>
  <si>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</si>
  <si>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</si>
  <si>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</si>
  <si>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</si>
  <si>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</si>
  <si>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</si>
  <si>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</si>
  <si>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</si>
  <si>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</si>
  <si>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</si>
  <si>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</si>
  <si>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</si>
  <si>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</si>
  <si>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</si>
  <si>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</si>
  <si>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</si>
  <si>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</si>
  <si>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</si>
  <si>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</si>
  <si>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</si>
  <si>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</si>
  <si>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</si>
  <si>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</si>
  <si>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</si>
  <si>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</si>
  <si>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</si>
  <si>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</si>
  <si>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</si>
  <si>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</si>
  <si>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</si>
  <si>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</si>
  <si>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</si>
  <si>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</si>
  <si>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</si>
  <si>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</si>
  <si>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</si>
  <si>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</si>
  <si>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</si>
  <si>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</si>
  <si>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</si>
  <si>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</si>
  <si>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</si>
  <si>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</si>
  <si>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</si>
  <si>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</si>
  <si>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</si>
  <si>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</si>
  <si>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</si>
  <si>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</si>
  <si>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</si>
  <si>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</si>
  <si>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</si>
  <si>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</si>
  <si>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</si>
  <si>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</si>
  <si>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</si>
  <si>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</si>
  <si>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</si>
  <si>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</si>
  <si>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</si>
  <si>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</si>
  <si>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</si>
  <si>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</si>
  <si>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</si>
  <si>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</si>
  <si>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</si>
  <si>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</si>
  <si>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</si>
  <si>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</si>
  <si>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</si>
  <si>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</si>
  <si>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</si>
  <si>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</si>
  <si>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</si>
  <si>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MetroPlus Health Plan</t>
  </si>
  <si>
    <t>2015</t>
  </si>
  <si>
    <t>160 Water Street, 3rd Floor New York, NY 10038</t>
  </si>
  <si>
    <t>134115686</t>
  </si>
  <si>
    <t>95546</t>
  </si>
  <si>
    <t>11177</t>
  </si>
  <si>
    <t>633</t>
  </si>
  <si>
    <t/>
  </si>
  <si>
    <t>N/A</t>
  </si>
  <si>
    <t>Adjudicated claims are paid weekly.  Each line of business is paid separately to each provider.  Each payment is listed on a weekly LOB Disbursement Register.</t>
  </si>
  <si>
    <t>Underlying service dates for all claims are captured in the claim adjudication system along with payment history.   All claims are identifed and tracked by line of business.</t>
  </si>
  <si>
    <t>Unpaid Claim Liabilities (UCL) are separately developed quarterly and reported for each line of business, based on claim service and payment dates. Line of business UCL's are developed for inpatient and outpatient medical, and other coverages such as dental and pharmacy.</t>
  </si>
  <si>
    <t>All business is direct, the company does not cede or assume reinsurance. Unpaid Claim Liabilities (UCL) are separately developed quarterly and reported for each line of business, based on claim service and payment dates. Line of business UCL's are developed for inpatient and outpatient medical, and other coverages such as dental and pharmacy.</t>
  </si>
  <si>
    <t>Medical incentive pools are developed for each line of business for which pools exist.  Amounts are calculated for each participating line of business basedon incurred claim data captured by the Company's payment systems.   Incentive payments are generally made during the year following the reporting year.</t>
  </si>
  <si>
    <t>Medical incentive pools are developed for each line of business for which pools exist, and estimated on a quarterly basis during the reporting year and in the periods subsequent to the reporting year, as appropriate for completion of underlying claims.  Accruals reflect any interim payments.  Incentive pool results are determined for each incentive or risk reporting year.</t>
  </si>
  <si>
    <t>Medical incentive pools are developed for each line of business for which pools exist, and estimated on a quarterly basis during the reporting year and in the periods subsequent to the reporting year, as appropriate for completion of underlying claims.  Accruals reflect any interim payments.</t>
  </si>
  <si>
    <t>All other lines in this section</t>
  </si>
  <si>
    <t>Not applicable to MetroPlus</t>
  </si>
  <si>
    <t>MetroPlus, a public benefit corporation, is exempt from federal and New York State income tax under Section 501(a) of the IRC as a 501(c)3 organization.</t>
  </si>
  <si>
    <t xml:space="preserve">Patient-Centered Outcomes Research Institute Fee (PCORI) is assessed to individual and group policies to fund comparative effectiveness research.  The fee is $0.17 PMPM.  </t>
  </si>
  <si>
    <t>MetroPlus is exempt as a qualifying 501( c)3 organization.  Additionally, MetroPlus is exempt as a component unit of The City of New York.</t>
  </si>
  <si>
    <t xml:space="preserve">Consists of GME and HCRA payments for specific lines of business and estimated 332 Assessments for lines of business subject to such assessments.  </t>
  </si>
  <si>
    <t>Calculated based on specific covered lines of business data and paid by MetroPlus to HHS for participation in the Federal Reinsurance Program.</t>
  </si>
  <si>
    <t>Quality improvements helping members with chronic conditions stay healthy and provide support to help them manage their illness.  Programs include Diabetes, Asthma, Behavioral Health, Complex Medical.  (did not specifically assigned any expenses to this bucket)</t>
  </si>
  <si>
    <t>Medical management costs are generally allocated to lines of business based on the proportion of member months of each line to the total. Admin costs of medical management units that support specific lines of business are generally charged directly to that line.</t>
  </si>
  <si>
    <t>Claim adjustment expenses for services performed by third party vendors are charged to the line of business being serviced. Claim adjustment expenses for services performed by internal staff are generally allocated to lines of business based on the proportion of member months of each of line to the total member months.</t>
  </si>
  <si>
    <t>MetroPlus employs non-commissioned marketing staff to help enlist Medicaid, Medicare and NY Health Exchange members.   Costs are charged directly for the business line served, where applicable, or allocated based on member months of the lines of business for the reporting period.</t>
  </si>
  <si>
    <t>MetroPlus does not engage agents and brokers.</t>
  </si>
  <si>
    <t xml:space="preserve">Payments are charged to the underlying line of business.  </t>
  </si>
  <si>
    <t>Administrative costs that are incurred directly in support of a specific line business are charged to the respective lines of business. Directly chargeable  costs include compensation and benefits, and payments to third party vendors. All remaining admin costs not charged directly to a line, are then allocated to all  lines of business, generally based on the proportion of member months of each line to the total of all lines of business for the reporting year.</t>
  </si>
  <si>
    <t>5.7 Community benefit expenditures (informational only include amounts reported in Lines 3.2c and 5.6)</t>
  </si>
  <si>
    <t>5.8 ICD-10 implementation expenses (informational only include amounts reported in Lines 4.6 and 5.6)</t>
  </si>
  <si>
    <t>Any costs would be allocated based on member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</si>
</sst>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8" borderId="29" xfId="56" applyNumberFormat="1" applyFont="1" applyFill="1" applyBorder="1" applyAlignment="1" applyProtection="1">
      <alignment vertical="top"/>
      <protection locked="0"/>
    </xf>
    <xf numFmtId="6" fontId="0" fillId="28" borderId="71" xfId="847" quotePrefix="1" applyNumberFormat="1" applyFont="1" applyFill="1" applyBorder="1" applyAlignment="1" applyProtection="1">
      <alignment vertical="top"/>
      <protection locked="0"/>
    </xf>
    <xf numFmtId="6" fontId="0" fillId="28" borderId="28" xfId="847" quotePrefix="1" applyNumberFormat="1" applyFont="1" applyFill="1" applyBorder="1" applyAlignment="1" applyProtection="1">
      <alignment vertical="top"/>
      <protection locked="0"/>
    </xf>
    <xf numFmtId="6" fontId="0" fillId="28" borderId="27" xfId="847" quotePrefix="1" applyNumberFormat="1" applyFont="1" applyFill="1" applyBorder="1" applyAlignment="1" applyProtection="1">
      <alignment vertical="top"/>
      <protection locked="0"/>
    </xf>
    <xf numFmtId="0" fontId="0" fillId="28" borderId="27" xfId="847" applyNumberFormat="1" applyFont="1" applyFill="1" applyBorder="1" applyAlignment="1" applyProtection="1">
      <alignment vertical="top"/>
      <protection locked="0"/>
    </xf>
    <xf numFmtId="165" fontId="0" fillId="28" borderId="28" xfId="847" quotePrefix="1"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or%20Alisa/MLR%202015/source_sheet_MLR_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ITTERLEVERICH/Regulatory%20Filings/2015%20YEAR%20END/PDFs%20of%20final%20files/All%20LOB_P&amp;L%20Summary_YE%202015RD_03281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or%20Alisa/3rs/MLR_Template_Grand_Total_2015072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LR_RC_Template_NY_201607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or%20Alisa/MLR%202015/2015-MLR-Calculator-20160606_DRAFT20160712_USETHIS.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or%20Alisa/3rs/MLR%20SUBMITTED%2020150729/MLR_Template_New_York_20150721%20VALU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2014 DOS for Part 3"/>
      <sheetName val="govt_breakout"/>
      <sheetName val="MCAD_breakout"/>
      <sheetName val="FHP_breakout"/>
      <sheetName val="base credibility factor"/>
      <sheetName val="LOB Income Stmt"/>
      <sheetName val="Rebates Rec 2015"/>
      <sheetName val="Risk Summary"/>
      <sheetName val="Risk Summary - Expenses"/>
      <sheetName val="2015"/>
      <sheetName val="CSR"/>
      <sheetName val="HBX 12-31 "/>
      <sheetName val=" HHCGold "/>
      <sheetName val="MMCOR Summary"/>
      <sheetName val="Reconicilation WORK "/>
      <sheetName val="Summary"/>
      <sheetName val="Part3_7.2"/>
    </sheetNames>
    <sheetDataSet>
      <sheetData sheetId="0">
        <row r="6">
          <cell r="E6">
            <v>21871177.359999999</v>
          </cell>
        </row>
        <row r="7">
          <cell r="C7">
            <v>-33366713</v>
          </cell>
          <cell r="D7">
            <v>-1543462</v>
          </cell>
          <cell r="J7">
            <v>-30571356.27</v>
          </cell>
          <cell r="K7">
            <v>-1666323.89</v>
          </cell>
        </row>
        <row r="8">
          <cell r="C8">
            <v>4202000</v>
          </cell>
          <cell r="J8">
            <v>5188576.67</v>
          </cell>
        </row>
        <row r="13">
          <cell r="H13">
            <v>104372780.22475791</v>
          </cell>
        </row>
        <row r="20">
          <cell r="J20">
            <v>79762619.6130431</v>
          </cell>
          <cell r="K20">
            <v>1456719.2120780176</v>
          </cell>
          <cell r="L20">
            <v>7298318.2763907854</v>
          </cell>
        </row>
        <row r="25">
          <cell r="J25">
            <v>489298.47651552124</v>
          </cell>
          <cell r="K25">
            <v>827.69000000002029</v>
          </cell>
          <cell r="L25">
            <v>8877.4255148005177</v>
          </cell>
        </row>
        <row r="28">
          <cell r="C28">
            <v>30619591.730000004</v>
          </cell>
          <cell r="D28">
            <v>234189.68</v>
          </cell>
          <cell r="E28">
            <v>1228724.24</v>
          </cell>
          <cell r="F28">
            <v>585832387.27999997</v>
          </cell>
          <cell r="H28">
            <v>10155830.262467932</v>
          </cell>
          <cell r="J28">
            <v>32196623.930000003</v>
          </cell>
          <cell r="K28">
            <v>247651.36</v>
          </cell>
          <cell r="L28">
            <v>1228724.24</v>
          </cell>
        </row>
        <row r="30">
          <cell r="C30">
            <v>76617255.513743013</v>
          </cell>
          <cell r="D30">
            <v>1258297.381616916</v>
          </cell>
          <cell r="E30">
            <v>8305670.4890030809</v>
          </cell>
          <cell r="F30">
            <v>1825349119.0693166</v>
          </cell>
          <cell r="G30">
            <v>0</v>
          </cell>
          <cell r="H30">
            <v>84745553.428278908</v>
          </cell>
        </row>
        <row r="35">
          <cell r="J35">
            <v>3148774.8044963516</v>
          </cell>
          <cell r="K35">
            <v>65653.656682476343</v>
          </cell>
          <cell r="L35">
            <v>88966.245617930574</v>
          </cell>
        </row>
        <row r="40">
          <cell r="C40">
            <v>33540.62374301417</v>
          </cell>
          <cell r="D40">
            <v>393.34161691610643</v>
          </cell>
          <cell r="E40">
            <v>7118.4790030811928</v>
          </cell>
          <cell r="F40">
            <v>1651485.1193166794</v>
          </cell>
          <cell r="G40">
            <v>0</v>
          </cell>
          <cell r="H40">
            <v>84802.375810955011</v>
          </cell>
          <cell r="J40">
            <v>335.26734001050772</v>
          </cell>
          <cell r="K40">
            <v>0</v>
          </cell>
          <cell r="L40">
            <v>3264.411631256633</v>
          </cell>
        </row>
        <row r="45">
          <cell r="C45">
            <v>10625357.241585387</v>
          </cell>
          <cell r="D45">
            <v>262101.92376322852</v>
          </cell>
          <cell r="E45">
            <v>579118.30989603116</v>
          </cell>
          <cell r="F45">
            <v>173781650.9204607</v>
          </cell>
          <cell r="G45">
            <v>0</v>
          </cell>
          <cell r="H45">
            <v>14616386.230093183</v>
          </cell>
        </row>
        <row r="47">
          <cell r="C47">
            <v>17886</v>
          </cell>
          <cell r="D47">
            <v>644</v>
          </cell>
          <cell r="E47">
            <v>1907</v>
          </cell>
          <cell r="F47">
            <v>442411</v>
          </cell>
          <cell r="G47">
            <v>0</v>
          </cell>
          <cell r="H47">
            <v>8524</v>
          </cell>
        </row>
        <row r="48">
          <cell r="C48">
            <v>21493</v>
          </cell>
          <cell r="D48">
            <v>765</v>
          </cell>
          <cell r="E48">
            <v>3845</v>
          </cell>
          <cell r="F48">
            <v>442411</v>
          </cell>
          <cell r="G48">
            <v>0</v>
          </cell>
          <cell r="H48">
            <v>8524</v>
          </cell>
        </row>
        <row r="49">
          <cell r="D49">
            <v>352</v>
          </cell>
          <cell r="E49">
            <v>1</v>
          </cell>
          <cell r="F49">
            <v>1</v>
          </cell>
          <cell r="G49">
            <v>0</v>
          </cell>
          <cell r="H49">
            <v>1</v>
          </cell>
        </row>
        <row r="50">
          <cell r="C50">
            <v>286497</v>
          </cell>
          <cell r="D50">
            <v>6620</v>
          </cell>
          <cell r="E50">
            <v>43787</v>
          </cell>
          <cell r="F50">
            <v>5204819</v>
          </cell>
          <cell r="G50">
            <v>0</v>
          </cell>
          <cell r="H50">
            <v>102718</v>
          </cell>
        </row>
        <row r="61">
          <cell r="C61">
            <v>52668</v>
          </cell>
          <cell r="D61">
            <v>1190</v>
          </cell>
        </row>
        <row r="62">
          <cell r="C62">
            <v>992749</v>
          </cell>
          <cell r="D62">
            <v>30612</v>
          </cell>
          <cell r="F62">
            <v>0</v>
          </cell>
          <cell r="J62">
            <v>992749</v>
          </cell>
          <cell r="K62">
            <v>30612</v>
          </cell>
        </row>
        <row r="63">
          <cell r="C63">
            <v>1391192</v>
          </cell>
          <cell r="D63">
            <v>25036</v>
          </cell>
        </row>
        <row r="64">
          <cell r="C64">
            <v>23300</v>
          </cell>
          <cell r="D64">
            <v>544</v>
          </cell>
        </row>
        <row r="70">
          <cell r="C70">
            <v>9573501.4640844148</v>
          </cell>
          <cell r="D70">
            <v>177555.75032533333</v>
          </cell>
          <cell r="E70">
            <v>1159085.899335278</v>
          </cell>
          <cell r="F70">
            <v>69299361.717545226</v>
          </cell>
          <cell r="J70">
            <v>9758951.9144230001</v>
          </cell>
          <cell r="K70">
            <v>202675.53310033333</v>
          </cell>
          <cell r="L70">
            <v>1106261.707045</v>
          </cell>
        </row>
        <row r="74">
          <cell r="C74">
            <v>0</v>
          </cell>
          <cell r="D74">
            <v>0</v>
          </cell>
          <cell r="E74">
            <v>0</v>
          </cell>
        </row>
        <row r="76">
          <cell r="C76">
            <v>13288870</v>
          </cell>
          <cell r="D76">
            <v>309987</v>
          </cell>
          <cell r="E76">
            <v>1842069.3340798451</v>
          </cell>
          <cell r="F76">
            <v>149037779.25151101</v>
          </cell>
          <cell r="H76">
            <v>14680166.192074308</v>
          </cell>
        </row>
      </sheetData>
      <sheetData sheetId="1"/>
      <sheetData sheetId="2">
        <row r="13">
          <cell r="J13">
            <v>2341320677.9707932</v>
          </cell>
        </row>
      </sheetData>
      <sheetData sheetId="3"/>
      <sheetData sheetId="4"/>
      <sheetData sheetId="5"/>
      <sheetData sheetId="6">
        <row r="102">
          <cell r="AO102">
            <v>-16975513</v>
          </cell>
        </row>
      </sheetData>
      <sheetData sheetId="7">
        <row r="57">
          <cell r="D57">
            <v>11525013.279999999</v>
          </cell>
          <cell r="E57">
            <v>7431418.4399999995</v>
          </cell>
          <cell r="K57">
            <v>885365.40872939047</v>
          </cell>
          <cell r="L57">
            <v>6810.0912706094832</v>
          </cell>
        </row>
      </sheetData>
      <sheetData sheetId="8"/>
      <sheetData sheetId="9"/>
      <sheetData sheetId="10">
        <row r="51">
          <cell r="D51">
            <v>8879596.3623323217</v>
          </cell>
        </row>
        <row r="52">
          <cell r="K52">
            <v>10907735.40740557</v>
          </cell>
        </row>
        <row r="53">
          <cell r="I53">
            <v>8905126.0350607</v>
          </cell>
        </row>
        <row r="56">
          <cell r="D56">
            <v>178339784.63766766</v>
          </cell>
        </row>
        <row r="57">
          <cell r="K57">
            <v>227657679.36482498</v>
          </cell>
        </row>
        <row r="58">
          <cell r="I58">
            <v>220445148.87470379</v>
          </cell>
        </row>
      </sheetData>
      <sheetData sheetId="11">
        <row r="7">
          <cell r="B7">
            <v>8030430.0199999996</v>
          </cell>
          <cell r="C7">
            <v>6693874.6600000001</v>
          </cell>
        </row>
        <row r="15">
          <cell r="C15">
            <v>7437311.6799999997</v>
          </cell>
        </row>
      </sheetData>
      <sheetData sheetId="12">
        <row r="138">
          <cell r="E138">
            <v>3122336.65</v>
          </cell>
        </row>
        <row r="148">
          <cell r="C148">
            <v>58095350.199999996</v>
          </cell>
        </row>
        <row r="155">
          <cell r="C155">
            <v>116013251.03</v>
          </cell>
          <cell r="L155">
            <v>115991995.63</v>
          </cell>
          <cell r="O155">
            <v>3357471.94</v>
          </cell>
        </row>
        <row r="160">
          <cell r="C160">
            <v>627872.15625</v>
          </cell>
          <cell r="L160">
            <v>627872.15625</v>
          </cell>
          <cell r="O160">
            <v>0</v>
          </cell>
        </row>
        <row r="164">
          <cell r="C164">
            <v>890583.01375000179</v>
          </cell>
          <cell r="L164">
            <v>869327.61375000176</v>
          </cell>
          <cell r="O164">
            <v>0</v>
          </cell>
        </row>
      </sheetData>
      <sheetData sheetId="13"/>
      <sheetData sheetId="14"/>
      <sheetData sheetId="15"/>
      <sheetData sheetId="16">
        <row r="16">
          <cell r="B16">
            <v>948240.57</v>
          </cell>
        </row>
        <row r="17">
          <cell r="B17">
            <v>0</v>
          </cell>
        </row>
      </sheetData>
      <sheetData sheetId="17">
        <row r="17">
          <cell r="F17">
            <v>77403660.81651552</v>
          </cell>
        </row>
        <row r="23">
          <cell r="F23">
            <v>1001509.2099999998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 John"/>
      <sheetName val="MMCOR ALL LOB P&amp;L"/>
      <sheetName val="Revenue ALL LOB"/>
      <sheetName val="FIDA"/>
      <sheetName val="Prior Year Explanation"/>
      <sheetName val="Total Admin by LOB"/>
      <sheetName val="Med Home, PCRI, HH, IGT"/>
      <sheetName val="ClaimCount for Admin"/>
      <sheetName val="PL Summary_FORMULAS ONLY"/>
    </sheetNames>
    <sheetDataSet>
      <sheetData sheetId="0">
        <row r="13">
          <cell r="J13">
            <v>6707000</v>
          </cell>
        </row>
      </sheetData>
      <sheetData sheetId="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row r="58">
          <cell r="E58">
            <v>7286993</v>
          </cell>
        </row>
      </sheetData>
      <sheetData sheetId="3">
        <row r="6">
          <cell r="G6">
            <v>77121222.219578043</v>
          </cell>
          <cell r="L6">
            <v>1006261.3304104218</v>
          </cell>
          <cell r="P6">
            <v>16637877.371180288</v>
          </cell>
        </row>
        <row r="7">
          <cell r="G7">
            <v>1485612</v>
          </cell>
          <cell r="L7">
            <v>25647</v>
          </cell>
          <cell r="O7">
            <v>0</v>
          </cell>
        </row>
        <row r="9">
          <cell r="G9">
            <v>4200475.38</v>
          </cell>
        </row>
        <row r="10">
          <cell r="G10">
            <v>-54020697.93</v>
          </cell>
          <cell r="L10">
            <v>-1166880.06</v>
          </cell>
        </row>
        <row r="15">
          <cell r="G15">
            <v>142609653</v>
          </cell>
          <cell r="J15">
            <v>2689694.3200000003</v>
          </cell>
          <cell r="O15">
            <v>19503269</v>
          </cell>
        </row>
        <row r="16">
          <cell r="G16">
            <v>14400188.232090507</v>
          </cell>
          <cell r="J16">
            <v>190565.92430975899</v>
          </cell>
          <cell r="O16">
            <v>1335276.8691209964</v>
          </cell>
        </row>
      </sheetData>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1- RC Plan Level Data - Ind"/>
      <sheetName val="2 - RC Plan Level Data-Sm Group"/>
      <sheetName val="3 - RC Payment or Charge Calc"/>
      <sheetName val="Attestation"/>
    </sheetNames>
    <sheetDataSet>
      <sheetData sheetId="0" refreshError="1"/>
      <sheetData sheetId="1" refreshError="1"/>
      <sheetData sheetId="2" refreshError="1"/>
      <sheetData sheetId="3">
        <row r="12">
          <cell r="D12">
            <v>7803616.1469807234</v>
          </cell>
          <cell r="E12">
            <v>286466.03691290179</v>
          </cell>
        </row>
        <row r="13">
          <cell r="D13">
            <v>7803616.1469807224</v>
          </cell>
          <cell r="E13">
            <v>286466.03691290179</v>
          </cell>
        </row>
      </sheetData>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row r="12">
          <cell r="C12" t="str">
            <v>New York</v>
          </cell>
        </row>
      </sheetData>
      <sheetData sheetId="3"/>
      <sheetData sheetId="4"/>
      <sheetData sheetId="5"/>
      <sheetData sheetId="6"/>
      <sheetData sheetId="7"/>
      <sheetData sheetId="8"/>
      <sheetData sheetId="9">
        <row r="3">
          <cell r="D3" t="str">
            <v>Alaska</v>
          </cell>
          <cell r="E3">
            <v>0.8</v>
          </cell>
          <cell r="F3">
            <v>0.8</v>
          </cell>
          <cell r="G3">
            <v>0.8</v>
          </cell>
          <cell r="H3">
            <v>0.8</v>
          </cell>
          <cell r="I3">
            <v>0.8</v>
          </cell>
          <cell r="J3">
            <v>0.8</v>
          </cell>
        </row>
        <row r="4">
          <cell r="D4" t="str">
            <v>Alabama</v>
          </cell>
          <cell r="E4">
            <v>0.8</v>
          </cell>
          <cell r="F4">
            <v>0.8</v>
          </cell>
          <cell r="G4">
            <v>0.8</v>
          </cell>
          <cell r="H4">
            <v>0.8</v>
          </cell>
          <cell r="I4">
            <v>0.8</v>
          </cell>
          <cell r="J4">
            <v>0.8</v>
          </cell>
        </row>
        <row r="5">
          <cell r="D5" t="str">
            <v>Arkansas</v>
          </cell>
          <cell r="E5">
            <v>0.8</v>
          </cell>
          <cell r="F5">
            <v>0.8</v>
          </cell>
          <cell r="G5">
            <v>0.8</v>
          </cell>
          <cell r="H5">
            <v>0.8</v>
          </cell>
          <cell r="I5">
            <v>0.8</v>
          </cell>
          <cell r="J5">
            <v>0.8</v>
          </cell>
        </row>
        <row r="6">
          <cell r="D6" t="str">
            <v>American Samoa</v>
          </cell>
          <cell r="E6">
            <v>0.8</v>
          </cell>
          <cell r="F6">
            <v>0.8</v>
          </cell>
          <cell r="G6">
            <v>0.8</v>
          </cell>
          <cell r="H6">
            <v>0.8</v>
          </cell>
          <cell r="I6">
            <v>0</v>
          </cell>
          <cell r="J6">
            <v>0</v>
          </cell>
        </row>
        <row r="7">
          <cell r="D7" t="str">
            <v>Arizona</v>
          </cell>
          <cell r="E7">
            <v>0.8</v>
          </cell>
          <cell r="F7">
            <v>0.8</v>
          </cell>
          <cell r="G7">
            <v>0.8</v>
          </cell>
          <cell r="H7">
            <v>0.8</v>
          </cell>
          <cell r="I7">
            <v>0.8</v>
          </cell>
          <cell r="J7">
            <v>0.8</v>
          </cell>
        </row>
        <row r="8">
          <cell r="D8" t="str">
            <v>California</v>
          </cell>
          <cell r="E8">
            <v>0.8</v>
          </cell>
          <cell r="F8">
            <v>0.8</v>
          </cell>
          <cell r="G8">
            <v>0.8</v>
          </cell>
          <cell r="H8">
            <v>0.8</v>
          </cell>
          <cell r="I8">
            <v>0.8</v>
          </cell>
          <cell r="J8">
            <v>0.8</v>
          </cell>
        </row>
        <row r="9">
          <cell r="D9" t="str">
            <v>Canada</v>
          </cell>
          <cell r="E9">
            <v>0</v>
          </cell>
          <cell r="F9">
            <v>0</v>
          </cell>
          <cell r="G9">
            <v>0</v>
          </cell>
          <cell r="H9">
            <v>0</v>
          </cell>
          <cell r="I9">
            <v>0</v>
          </cell>
          <cell r="J9">
            <v>0</v>
          </cell>
        </row>
        <row r="10">
          <cell r="D10" t="str">
            <v>Colorado</v>
          </cell>
          <cell r="E10">
            <v>0.8</v>
          </cell>
          <cell r="F10">
            <v>0.8</v>
          </cell>
          <cell r="G10">
            <v>0.8</v>
          </cell>
          <cell r="H10">
            <v>0.8</v>
          </cell>
          <cell r="I10">
            <v>0.8</v>
          </cell>
          <cell r="J10">
            <v>0.8</v>
          </cell>
        </row>
        <row r="11">
          <cell r="D11" t="str">
            <v>Connecticut</v>
          </cell>
          <cell r="E11">
            <v>0.8</v>
          </cell>
          <cell r="F11">
            <v>0.8</v>
          </cell>
          <cell r="G11">
            <v>0.8</v>
          </cell>
          <cell r="H11">
            <v>0.8</v>
          </cell>
          <cell r="I11">
            <v>0.8</v>
          </cell>
          <cell r="J11">
            <v>0.8</v>
          </cell>
        </row>
        <row r="12">
          <cell r="D12" t="str">
            <v>District of Columbia</v>
          </cell>
          <cell r="E12">
            <v>0.8</v>
          </cell>
          <cell r="F12">
            <v>0.8</v>
          </cell>
          <cell r="G12">
            <v>0.8</v>
          </cell>
          <cell r="H12">
            <v>0.8</v>
          </cell>
          <cell r="I12">
            <v>0.8</v>
          </cell>
          <cell r="J12">
            <v>0.8</v>
          </cell>
        </row>
        <row r="13">
          <cell r="D13" t="str">
            <v>Delaware</v>
          </cell>
          <cell r="E13">
            <v>0.8</v>
          </cell>
          <cell r="F13">
            <v>0.8</v>
          </cell>
          <cell r="G13">
            <v>0.8</v>
          </cell>
          <cell r="H13">
            <v>0.8</v>
          </cell>
          <cell r="I13">
            <v>0.8</v>
          </cell>
          <cell r="J13">
            <v>0.8</v>
          </cell>
        </row>
        <row r="14">
          <cell r="D14" t="str">
            <v>Florida</v>
          </cell>
          <cell r="E14">
            <v>0.8</v>
          </cell>
          <cell r="F14">
            <v>0.8</v>
          </cell>
          <cell r="G14">
            <v>0.8</v>
          </cell>
          <cell r="H14">
            <v>0.8</v>
          </cell>
          <cell r="I14">
            <v>0.8</v>
          </cell>
          <cell r="J14">
            <v>0.8</v>
          </cell>
        </row>
        <row r="15">
          <cell r="D15" t="str">
            <v>Georgia</v>
          </cell>
          <cell r="E15">
            <v>0.75</v>
          </cell>
          <cell r="F15">
            <v>0.8</v>
          </cell>
          <cell r="G15">
            <v>0.8</v>
          </cell>
          <cell r="H15">
            <v>0.8</v>
          </cell>
          <cell r="I15">
            <v>0.8</v>
          </cell>
          <cell r="J15">
            <v>0.8</v>
          </cell>
        </row>
        <row r="16">
          <cell r="D16" t="str">
            <v>Grand Total</v>
          </cell>
          <cell r="E16">
            <v>0.8</v>
          </cell>
          <cell r="F16">
            <v>0.8</v>
          </cell>
          <cell r="G16">
            <v>0.8</v>
          </cell>
          <cell r="H16">
            <v>0.8</v>
          </cell>
          <cell r="I16">
            <v>0.8</v>
          </cell>
          <cell r="J16">
            <v>0.8</v>
          </cell>
        </row>
        <row r="17">
          <cell r="D17" t="str">
            <v>Guam</v>
          </cell>
          <cell r="E17">
            <v>0.8</v>
          </cell>
          <cell r="F17">
            <v>0.8</v>
          </cell>
          <cell r="G17">
            <v>0.8</v>
          </cell>
          <cell r="H17">
            <v>0.8</v>
          </cell>
          <cell r="I17">
            <v>0</v>
          </cell>
          <cell r="J17">
            <v>0</v>
          </cell>
        </row>
        <row r="18">
          <cell r="D18" t="str">
            <v>Hawaii</v>
          </cell>
          <cell r="E18">
            <v>0.8</v>
          </cell>
          <cell r="F18">
            <v>0.8</v>
          </cell>
          <cell r="G18">
            <v>0.8</v>
          </cell>
          <cell r="H18">
            <v>0.8</v>
          </cell>
          <cell r="I18">
            <v>0.8</v>
          </cell>
          <cell r="J18">
            <v>0.8</v>
          </cell>
        </row>
        <row r="19">
          <cell r="D19" t="str">
            <v>Iowa</v>
          </cell>
          <cell r="E19">
            <v>0.75</v>
          </cell>
          <cell r="F19">
            <v>0.8</v>
          </cell>
          <cell r="G19">
            <v>0.8</v>
          </cell>
          <cell r="H19">
            <v>0.8</v>
          </cell>
          <cell r="I19">
            <v>0.8</v>
          </cell>
          <cell r="J19">
            <v>0.8</v>
          </cell>
        </row>
        <row r="20">
          <cell r="D20" t="str">
            <v>Idaho</v>
          </cell>
          <cell r="E20">
            <v>0.8</v>
          </cell>
          <cell r="F20">
            <v>0.8</v>
          </cell>
          <cell r="G20">
            <v>0.8</v>
          </cell>
          <cell r="H20">
            <v>0.8</v>
          </cell>
          <cell r="I20">
            <v>0.8</v>
          </cell>
          <cell r="J20">
            <v>0.8</v>
          </cell>
        </row>
        <row r="21">
          <cell r="D21" t="str">
            <v>Illinois</v>
          </cell>
          <cell r="E21">
            <v>0.8</v>
          </cell>
          <cell r="F21">
            <v>0.8</v>
          </cell>
          <cell r="G21">
            <v>0.8</v>
          </cell>
          <cell r="H21">
            <v>0.8</v>
          </cell>
          <cell r="I21">
            <v>0.8</v>
          </cell>
          <cell r="J21">
            <v>0.8</v>
          </cell>
        </row>
        <row r="22">
          <cell r="D22" t="str">
            <v>Indiana</v>
          </cell>
          <cell r="E22">
            <v>0.8</v>
          </cell>
          <cell r="F22">
            <v>0.8</v>
          </cell>
          <cell r="G22">
            <v>0.8</v>
          </cell>
          <cell r="H22">
            <v>0.8</v>
          </cell>
          <cell r="I22">
            <v>0.8</v>
          </cell>
          <cell r="J22">
            <v>0.8</v>
          </cell>
        </row>
        <row r="23">
          <cell r="D23" t="str">
            <v>Kansas</v>
          </cell>
          <cell r="E23">
            <v>0.8</v>
          </cell>
          <cell r="F23">
            <v>0.8</v>
          </cell>
          <cell r="G23">
            <v>0.8</v>
          </cell>
          <cell r="H23">
            <v>0.8</v>
          </cell>
          <cell r="I23">
            <v>0.8</v>
          </cell>
          <cell r="J23">
            <v>0.8</v>
          </cell>
        </row>
        <row r="24">
          <cell r="D24" t="str">
            <v>Kentucky</v>
          </cell>
          <cell r="E24">
            <v>0.8</v>
          </cell>
          <cell r="F24">
            <v>0.8</v>
          </cell>
          <cell r="G24">
            <v>0.8</v>
          </cell>
          <cell r="H24">
            <v>0.8</v>
          </cell>
          <cell r="I24">
            <v>0.8</v>
          </cell>
          <cell r="J24">
            <v>0.8</v>
          </cell>
        </row>
        <row r="25">
          <cell r="D25" t="str">
            <v>Louisiana</v>
          </cell>
          <cell r="E25">
            <v>0.8</v>
          </cell>
          <cell r="F25">
            <v>0.8</v>
          </cell>
          <cell r="G25">
            <v>0.8</v>
          </cell>
          <cell r="H25">
            <v>0.8</v>
          </cell>
          <cell r="I25">
            <v>0.8</v>
          </cell>
          <cell r="J25">
            <v>0.8</v>
          </cell>
        </row>
        <row r="26">
          <cell r="D26" t="str">
            <v>Massachusetts</v>
          </cell>
          <cell r="E26">
            <v>0.9</v>
          </cell>
          <cell r="F26">
            <v>0.9</v>
          </cell>
          <cell r="G26">
            <v>0.9</v>
          </cell>
          <cell r="H26">
            <v>0.9</v>
          </cell>
          <cell r="I26">
            <v>0.89</v>
          </cell>
          <cell r="J26">
            <v>0.89</v>
          </cell>
        </row>
        <row r="27">
          <cell r="D27" t="str">
            <v>Maryland</v>
          </cell>
          <cell r="E27">
            <v>0.8</v>
          </cell>
          <cell r="F27">
            <v>0.8</v>
          </cell>
          <cell r="G27">
            <v>0.8</v>
          </cell>
          <cell r="H27">
            <v>0.8</v>
          </cell>
          <cell r="I27">
            <v>0.8</v>
          </cell>
          <cell r="J27">
            <v>0.8</v>
          </cell>
        </row>
        <row r="28">
          <cell r="D28" t="str">
            <v>Maine</v>
          </cell>
          <cell r="E28">
            <v>0.65</v>
          </cell>
          <cell r="F28">
            <v>0.8</v>
          </cell>
          <cell r="G28">
            <v>0.8</v>
          </cell>
          <cell r="H28">
            <v>0.8</v>
          </cell>
          <cell r="I28">
            <v>0.8</v>
          </cell>
          <cell r="J28">
            <v>0.8</v>
          </cell>
        </row>
        <row r="29">
          <cell r="D29" t="str">
            <v>Michigan</v>
          </cell>
          <cell r="E29">
            <v>0.8</v>
          </cell>
          <cell r="F29">
            <v>0.8</v>
          </cell>
          <cell r="G29">
            <v>0.8</v>
          </cell>
          <cell r="H29">
            <v>0.8</v>
          </cell>
          <cell r="I29">
            <v>0.8</v>
          </cell>
          <cell r="J29">
            <v>0.8</v>
          </cell>
        </row>
        <row r="30">
          <cell r="D30" t="str">
            <v>Minnesota</v>
          </cell>
          <cell r="E30">
            <v>0.8</v>
          </cell>
          <cell r="F30">
            <v>0.8</v>
          </cell>
          <cell r="G30">
            <v>0.8</v>
          </cell>
          <cell r="H30">
            <v>0.8</v>
          </cell>
          <cell r="I30">
            <v>0.8</v>
          </cell>
          <cell r="J30">
            <v>0.8</v>
          </cell>
        </row>
        <row r="31">
          <cell r="D31" t="str">
            <v>Missouri</v>
          </cell>
          <cell r="E31">
            <v>0.8</v>
          </cell>
          <cell r="F31">
            <v>0.8</v>
          </cell>
          <cell r="G31">
            <v>0.8</v>
          </cell>
          <cell r="H31">
            <v>0.8</v>
          </cell>
          <cell r="I31">
            <v>0.8</v>
          </cell>
          <cell r="J31">
            <v>0.8</v>
          </cell>
        </row>
        <row r="32">
          <cell r="D32" t="str">
            <v>MP (Northern Mariana)</v>
          </cell>
          <cell r="E32">
            <v>0.8</v>
          </cell>
          <cell r="F32">
            <v>0.8</v>
          </cell>
          <cell r="G32">
            <v>0.8</v>
          </cell>
          <cell r="H32">
            <v>0.8</v>
          </cell>
          <cell r="I32">
            <v>0</v>
          </cell>
          <cell r="J32">
            <v>0</v>
          </cell>
        </row>
        <row r="33">
          <cell r="D33" t="str">
            <v>Mississippi</v>
          </cell>
          <cell r="E33">
            <v>0.8</v>
          </cell>
          <cell r="F33">
            <v>0.8</v>
          </cell>
          <cell r="G33">
            <v>0.8</v>
          </cell>
          <cell r="H33">
            <v>0.8</v>
          </cell>
          <cell r="I33">
            <v>0.8</v>
          </cell>
          <cell r="J33">
            <v>0.8</v>
          </cell>
        </row>
        <row r="34">
          <cell r="D34" t="str">
            <v>Montana</v>
          </cell>
          <cell r="E34">
            <v>0.8</v>
          </cell>
          <cell r="F34">
            <v>0.8</v>
          </cell>
          <cell r="G34">
            <v>0.8</v>
          </cell>
          <cell r="H34">
            <v>0.8</v>
          </cell>
          <cell r="I34">
            <v>0.8</v>
          </cell>
          <cell r="J34">
            <v>0.8</v>
          </cell>
        </row>
        <row r="35">
          <cell r="D35" t="str">
            <v>North Carolina</v>
          </cell>
          <cell r="E35">
            <v>0.8</v>
          </cell>
          <cell r="F35">
            <v>0.8</v>
          </cell>
          <cell r="G35">
            <v>0.8</v>
          </cell>
          <cell r="H35">
            <v>0.8</v>
          </cell>
          <cell r="I35">
            <v>0.8</v>
          </cell>
          <cell r="J35">
            <v>0.8</v>
          </cell>
        </row>
        <row r="36">
          <cell r="D36" t="str">
            <v>North Dakota</v>
          </cell>
          <cell r="E36">
            <v>0.8</v>
          </cell>
          <cell r="F36">
            <v>0.8</v>
          </cell>
          <cell r="G36">
            <v>0.8</v>
          </cell>
          <cell r="H36">
            <v>0.8</v>
          </cell>
          <cell r="I36">
            <v>0.8</v>
          </cell>
          <cell r="J36">
            <v>0.8</v>
          </cell>
        </row>
        <row r="37">
          <cell r="D37" t="str">
            <v>Nebraska</v>
          </cell>
          <cell r="E37">
            <v>0.8</v>
          </cell>
          <cell r="F37">
            <v>0.8</v>
          </cell>
          <cell r="G37">
            <v>0.8</v>
          </cell>
          <cell r="H37">
            <v>0.8</v>
          </cell>
          <cell r="I37">
            <v>0.8</v>
          </cell>
          <cell r="J37">
            <v>0.8</v>
          </cell>
        </row>
        <row r="38">
          <cell r="D38" t="str">
            <v>New Hampshire</v>
          </cell>
          <cell r="E38">
            <v>0.75</v>
          </cell>
          <cell r="F38">
            <v>0.8</v>
          </cell>
          <cell r="G38">
            <v>0.8</v>
          </cell>
          <cell r="H38">
            <v>0.8</v>
          </cell>
          <cell r="I38">
            <v>0.8</v>
          </cell>
          <cell r="J38">
            <v>0.8</v>
          </cell>
        </row>
        <row r="39">
          <cell r="D39" t="str">
            <v>New Jersey</v>
          </cell>
          <cell r="E39">
            <v>0.8</v>
          </cell>
          <cell r="F39">
            <v>0.8</v>
          </cell>
          <cell r="G39">
            <v>0.8</v>
          </cell>
          <cell r="H39">
            <v>0.8</v>
          </cell>
          <cell r="I39">
            <v>0.8</v>
          </cell>
          <cell r="J39">
            <v>0.8</v>
          </cell>
        </row>
        <row r="40">
          <cell r="D40" t="str">
            <v>New Mexico</v>
          </cell>
          <cell r="E40">
            <v>0.8</v>
          </cell>
          <cell r="F40">
            <v>0.8</v>
          </cell>
          <cell r="G40">
            <v>0.8</v>
          </cell>
          <cell r="H40">
            <v>0.8</v>
          </cell>
          <cell r="I40">
            <v>0.8</v>
          </cell>
          <cell r="J40">
            <v>0.8</v>
          </cell>
        </row>
        <row r="41">
          <cell r="D41" t="str">
            <v>Nevada</v>
          </cell>
          <cell r="E41">
            <v>0.8</v>
          </cell>
          <cell r="F41">
            <v>0.8</v>
          </cell>
          <cell r="G41">
            <v>0.8</v>
          </cell>
          <cell r="H41">
            <v>0.8</v>
          </cell>
          <cell r="I41">
            <v>0.8</v>
          </cell>
          <cell r="J41">
            <v>0.8</v>
          </cell>
        </row>
        <row r="42">
          <cell r="D42" t="str">
            <v>New York</v>
          </cell>
          <cell r="E42">
            <v>0.82</v>
          </cell>
          <cell r="F42">
            <v>0.82</v>
          </cell>
          <cell r="G42">
            <v>0.82</v>
          </cell>
          <cell r="H42">
            <v>0.82</v>
          </cell>
          <cell r="I42">
            <v>0.82</v>
          </cell>
          <cell r="J42">
            <v>0.82</v>
          </cell>
        </row>
        <row r="43">
          <cell r="D43" t="str">
            <v>Ohio</v>
          </cell>
          <cell r="E43">
            <v>0.8</v>
          </cell>
          <cell r="F43">
            <v>0.8</v>
          </cell>
          <cell r="G43">
            <v>0.8</v>
          </cell>
          <cell r="H43">
            <v>0.8</v>
          </cell>
          <cell r="I43">
            <v>0.8</v>
          </cell>
          <cell r="J43">
            <v>0.8</v>
          </cell>
        </row>
        <row r="44">
          <cell r="D44" t="str">
            <v>Oklahoma</v>
          </cell>
          <cell r="E44">
            <v>0.8</v>
          </cell>
          <cell r="F44">
            <v>0.8</v>
          </cell>
          <cell r="G44">
            <v>0.8</v>
          </cell>
          <cell r="H44">
            <v>0.8</v>
          </cell>
          <cell r="I44">
            <v>0.8</v>
          </cell>
          <cell r="J44">
            <v>0.8</v>
          </cell>
        </row>
        <row r="45">
          <cell r="D45" t="str">
            <v>Oregon</v>
          </cell>
          <cell r="E45">
            <v>0.8</v>
          </cell>
          <cell r="F45">
            <v>0.8</v>
          </cell>
          <cell r="G45">
            <v>0.8</v>
          </cell>
          <cell r="H45">
            <v>0.8</v>
          </cell>
          <cell r="I45">
            <v>0.8</v>
          </cell>
          <cell r="J45">
            <v>0.8</v>
          </cell>
        </row>
        <row r="46">
          <cell r="D46" t="str">
            <v>Other Territories</v>
          </cell>
          <cell r="E46">
            <v>0</v>
          </cell>
          <cell r="F46">
            <v>0</v>
          </cell>
          <cell r="G46">
            <v>0</v>
          </cell>
          <cell r="H46">
            <v>0</v>
          </cell>
          <cell r="I46">
            <v>0</v>
          </cell>
          <cell r="J46">
            <v>0</v>
          </cell>
        </row>
        <row r="47">
          <cell r="D47" t="str">
            <v>Pennsylvania</v>
          </cell>
          <cell r="E47">
            <v>0.8</v>
          </cell>
          <cell r="F47">
            <v>0.8</v>
          </cell>
          <cell r="G47">
            <v>0.8</v>
          </cell>
          <cell r="H47">
            <v>0.8</v>
          </cell>
          <cell r="I47">
            <v>0.8</v>
          </cell>
          <cell r="J47">
            <v>0.8</v>
          </cell>
        </row>
        <row r="48">
          <cell r="D48" t="str">
            <v>Puerto Rico</v>
          </cell>
          <cell r="E48">
            <v>0.8</v>
          </cell>
          <cell r="F48">
            <v>0.8</v>
          </cell>
          <cell r="G48">
            <v>0.8</v>
          </cell>
          <cell r="H48">
            <v>0.8</v>
          </cell>
          <cell r="I48">
            <v>0</v>
          </cell>
          <cell r="J48">
            <v>0</v>
          </cell>
        </row>
        <row r="49">
          <cell r="D49" t="str">
            <v>Rhode Island</v>
          </cell>
          <cell r="E49">
            <v>0.8</v>
          </cell>
          <cell r="F49">
            <v>0.8</v>
          </cell>
          <cell r="G49">
            <v>0.8</v>
          </cell>
          <cell r="H49">
            <v>0.8</v>
          </cell>
          <cell r="I49">
            <v>0.8</v>
          </cell>
          <cell r="J49">
            <v>0.8</v>
          </cell>
        </row>
        <row r="50">
          <cell r="D50" t="str">
            <v>South Carolina</v>
          </cell>
          <cell r="E50">
            <v>0.8</v>
          </cell>
          <cell r="F50">
            <v>0.8</v>
          </cell>
          <cell r="G50">
            <v>0.8</v>
          </cell>
          <cell r="H50">
            <v>0.8</v>
          </cell>
          <cell r="I50">
            <v>0.8</v>
          </cell>
          <cell r="J50">
            <v>0.8</v>
          </cell>
        </row>
        <row r="51">
          <cell r="D51" t="str">
            <v>South Dakota</v>
          </cell>
          <cell r="E51">
            <v>0.8</v>
          </cell>
          <cell r="F51">
            <v>0.8</v>
          </cell>
          <cell r="G51">
            <v>0.8</v>
          </cell>
          <cell r="H51">
            <v>0.8</v>
          </cell>
          <cell r="I51">
            <v>0.8</v>
          </cell>
          <cell r="J51">
            <v>0.8</v>
          </cell>
        </row>
        <row r="52">
          <cell r="D52" t="str">
            <v>Tennessee</v>
          </cell>
          <cell r="E52">
            <v>0.8</v>
          </cell>
          <cell r="F52">
            <v>0.8</v>
          </cell>
          <cell r="G52">
            <v>0.8</v>
          </cell>
          <cell r="H52">
            <v>0.8</v>
          </cell>
          <cell r="I52">
            <v>0.8</v>
          </cell>
          <cell r="J52">
            <v>0.8</v>
          </cell>
        </row>
        <row r="53">
          <cell r="D53" t="str">
            <v>Texas</v>
          </cell>
          <cell r="E53">
            <v>0.8</v>
          </cell>
          <cell r="F53">
            <v>0.8</v>
          </cell>
          <cell r="G53">
            <v>0.8</v>
          </cell>
          <cell r="H53">
            <v>0.8</v>
          </cell>
          <cell r="I53">
            <v>0.8</v>
          </cell>
          <cell r="J53">
            <v>0.8</v>
          </cell>
        </row>
        <row r="54">
          <cell r="D54" t="str">
            <v>Utah</v>
          </cell>
          <cell r="E54">
            <v>0.8</v>
          </cell>
          <cell r="F54">
            <v>0.8</v>
          </cell>
          <cell r="G54">
            <v>0.8</v>
          </cell>
          <cell r="H54">
            <v>0.8</v>
          </cell>
          <cell r="I54">
            <v>0.8</v>
          </cell>
          <cell r="J54">
            <v>0.8</v>
          </cell>
        </row>
        <row r="55">
          <cell r="D55" t="str">
            <v>Virginia</v>
          </cell>
          <cell r="E55">
            <v>0.8</v>
          </cell>
          <cell r="F55">
            <v>0.8</v>
          </cell>
          <cell r="G55">
            <v>0.8</v>
          </cell>
          <cell r="H55">
            <v>0.8</v>
          </cell>
          <cell r="I55">
            <v>0.8</v>
          </cell>
          <cell r="J55">
            <v>0.8</v>
          </cell>
        </row>
        <row r="56">
          <cell r="D56" t="str">
            <v>Virgin Islands</v>
          </cell>
          <cell r="E56">
            <v>0.8</v>
          </cell>
          <cell r="F56">
            <v>0.8</v>
          </cell>
          <cell r="G56">
            <v>0.8</v>
          </cell>
          <cell r="H56">
            <v>0.8</v>
          </cell>
          <cell r="I56">
            <v>0</v>
          </cell>
          <cell r="J56">
            <v>0</v>
          </cell>
        </row>
        <row r="57">
          <cell r="D57" t="str">
            <v>Vermont</v>
          </cell>
          <cell r="E57">
            <v>0.8</v>
          </cell>
          <cell r="F57">
            <v>0.8</v>
          </cell>
          <cell r="G57">
            <v>0.8</v>
          </cell>
          <cell r="H57">
            <v>0.8</v>
          </cell>
          <cell r="I57">
            <v>0.8</v>
          </cell>
          <cell r="J57">
            <v>0.8</v>
          </cell>
        </row>
        <row r="58">
          <cell r="D58" t="str">
            <v>Washington</v>
          </cell>
          <cell r="E58">
            <v>0.8</v>
          </cell>
          <cell r="F58">
            <v>0.8</v>
          </cell>
          <cell r="G58">
            <v>0.8</v>
          </cell>
          <cell r="H58">
            <v>0.8</v>
          </cell>
          <cell r="I58">
            <v>0.8</v>
          </cell>
          <cell r="J58">
            <v>0.8</v>
          </cell>
        </row>
        <row r="59">
          <cell r="D59" t="str">
            <v>Wisconsin</v>
          </cell>
          <cell r="E59">
            <v>0.8</v>
          </cell>
          <cell r="F59">
            <v>0.8</v>
          </cell>
          <cell r="G59">
            <v>0.8</v>
          </cell>
          <cell r="H59">
            <v>0.8</v>
          </cell>
          <cell r="I59">
            <v>0.8</v>
          </cell>
          <cell r="J59">
            <v>0.8</v>
          </cell>
        </row>
        <row r="60">
          <cell r="D60" t="str">
            <v>West Virginia</v>
          </cell>
          <cell r="E60">
            <v>0.8</v>
          </cell>
          <cell r="F60">
            <v>0.8</v>
          </cell>
          <cell r="G60">
            <v>0.8</v>
          </cell>
          <cell r="H60">
            <v>0.8</v>
          </cell>
          <cell r="I60">
            <v>0.8</v>
          </cell>
          <cell r="J60">
            <v>0.8</v>
          </cell>
        </row>
        <row r="61">
          <cell r="D61" t="str">
            <v>Wyoming</v>
          </cell>
          <cell r="E61">
            <v>0.8</v>
          </cell>
          <cell r="F61">
            <v>0.8</v>
          </cell>
          <cell r="G61">
            <v>0.8</v>
          </cell>
          <cell r="H61">
            <v>0.8</v>
          </cell>
          <cell r="I61">
            <v>0.8</v>
          </cell>
          <cell r="J61">
            <v>0.8</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12">
          <cell r="I12">
            <v>77121222.219578043</v>
          </cell>
          <cell r="O12">
            <v>1006261.3304104218</v>
          </cell>
        </row>
        <row r="22">
          <cell r="I22">
            <v>0</v>
          </cell>
          <cell r="O22">
            <v>0</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D1" sqref="D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175</v>
      </c>
    </row>
    <row r="13" spans="1:6" x14ac:dyDescent="0.2">
      <c r="B13" s="147" t="s">
        <v>50</v>
      </c>
      <c r="C13" s="480" t="s">
        <v>175</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5" zoomScaleNormal="85" workbookViewId="0">
      <pane xSplit="2" ySplit="3" topLeftCell="C4" activePane="bottomRight" state="frozen"/>
      <selection activeCell="B1" sqref="B1"/>
      <selection pane="topRight" activeCell="B1" sqref="B1"/>
      <selection pane="bottomLeft" activeCell="B1" sqref="B1"/>
      <selection pane="bottomRight" activeCell="J15" sqref="J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483">
        <f>SUM('Pt 2 Premium and Claims'!D$5,'Pt 2 Premium and Claims'!D$6,-'Pt 2 Premium and Claims'!D$7,-'Pt 2 Premium and Claims'!D$13,'Pt 2 Premium and Claims'!D$14:'Pt 2 Premium and Claims'!D$17)</f>
        <v>86585827.172499999</v>
      </c>
      <c r="E5" s="213">
        <f>SUM('Pt 2 Premium and Claims'!E$5,'Pt 2 Premium and Claims'!E$6,-'Pt 2 Premium and Claims'!E$7,-'Pt 2 Premium and Claims'!E$13,'Pt 2 Premium and Claims'!E$14:'Pt 2 Premium and Claims'!E$17)</f>
        <v>90367760.572500005</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90367760.572500005</v>
      </c>
      <c r="J5" s="212">
        <f>SUM('Pt 2 Premium and Claims'!J$5,'Pt 2 Premium and Claims'!J$6,-'Pt 2 Premium and Claims'!J$7,-'Pt 2 Premium and Claims'!J$13,'Pt 2 Premium and Claims'!J$14,'Pt 2 Premium and Claims'!J$16:'Pt 2 Premium and Claims'!J$17)</f>
        <v>1578874.65</v>
      </c>
      <c r="K5" s="213">
        <f>SUM('Pt 2 Premium and Claims'!K$5,'Pt 2 Premium and Claims'!K$6,-'Pt 2 Premium and Claims'!K$7,-'Pt 2 Premium and Claims'!K$13,'Pt 2 Premium and Claims'!K$14,'Pt 2 Premium and Claims'!K$16:'Pt 2 Premium and Claims'!K$17)</f>
        <v>1691148.05</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1691148.05</v>
      </c>
      <c r="P5" s="212">
        <f>SUM('Pt 2 Premium and Claims'!P$5,'Pt 2 Premium and Claims'!P$6,-'Pt 2 Premium and Claims'!P$7,-'Pt 2 Premium and Claims'!P$13,'Pt 2 Premium and Claims'!P$14)</f>
        <v>21871177.359999999</v>
      </c>
      <c r="Q5" s="213">
        <f>SUM('Pt 2 Premium and Claims'!Q$5,'Pt 2 Premium and Claims'!Q$6,-'Pt 2 Premium and Claims'!Q$7,-'Pt 2 Premium and Claims'!Q$13,'Pt 2 Premium and Claims'!Q$14)</f>
        <v>21871177.359999999</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484">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t="s">
        <v>503</v>
      </c>
      <c r="AF5" s="274" t="s">
        <v>503</v>
      </c>
      <c r="AG5" s="274" t="s">
        <v>503</v>
      </c>
      <c r="AH5" s="275" t="s">
        <v>503</v>
      </c>
      <c r="AI5" s="212"/>
      <c r="AJ5" s="274" t="s">
        <v>503</v>
      </c>
      <c r="AK5" s="274" t="s">
        <v>503</v>
      </c>
      <c r="AL5" s="274" t="s">
        <v>503</v>
      </c>
      <c r="AM5" s="275" t="s">
        <v>503</v>
      </c>
      <c r="AN5" s="212"/>
      <c r="AO5" s="213"/>
      <c r="AP5" s="213"/>
      <c r="AQ5" s="213"/>
      <c r="AR5" s="213"/>
      <c r="AS5" s="212">
        <f>SUM('Pt 2 Premium and Claims'!AS$5,'Pt 2 Premium and Claims'!AS$6,-'Pt 2 Premium and Claims'!AS$7,-'Pt 2 Premium and Claims'!AS$13,'Pt 2 Premium and Claims'!AS$14)</f>
        <v>2341320677.9707932</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104372780.22475791</v>
      </c>
      <c r="AV5" s="215" t="s">
        <v>503</v>
      </c>
      <c r="AW5" s="296" t="s">
        <v>503</v>
      </c>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87209072.131585389</v>
      </c>
      <c r="E12" s="213">
        <f>'Pt 2 Premium and Claims'!E$54</f>
        <v>82911394.417539448</v>
      </c>
      <c r="F12" s="213">
        <f>'Pt 2 Premium and Claims'!F$54</f>
        <v>0</v>
      </c>
      <c r="G12" s="213">
        <f>'Pt 2 Premium and Claims'!G$54</f>
        <v>0</v>
      </c>
      <c r="H12" s="213">
        <f>'Pt 2 Premium and Claims'!H$54</f>
        <v>0</v>
      </c>
      <c r="I12" s="212">
        <f>'Pt 2 Premium and Claims'!I$54</f>
        <v>82911394.417539448</v>
      </c>
      <c r="J12" s="212">
        <f>'Pt 2 Premium and Claims'!J$54</f>
        <v>1520005.9637632286</v>
      </c>
      <c r="K12" s="213">
        <f>'Pt 2 Premium and Claims'!K$54</f>
        <v>1522372.868760494</v>
      </c>
      <c r="L12" s="213">
        <f>'Pt 2 Premium and Claims'!L$54</f>
        <v>0</v>
      </c>
      <c r="M12" s="213">
        <f>'Pt 2 Premium and Claims'!M$54</f>
        <v>0</v>
      </c>
      <c r="N12" s="213">
        <f>'Pt 2 Premium and Claims'!N$54</f>
        <v>0</v>
      </c>
      <c r="O12" s="212">
        <f>'Pt 2 Premium and Claims'!O$54</f>
        <v>1522372.868760494</v>
      </c>
      <c r="P12" s="212">
        <f>'Pt 2 Premium and Claims'!P$54</f>
        <v>19759876.054573223</v>
      </c>
      <c r="Q12" s="213">
        <f>'Pt 2 Premium and Claims'!Q$54</f>
        <v>18295019.929414287</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t="s">
        <v>503</v>
      </c>
      <c r="AF12" s="274" t="s">
        <v>503</v>
      </c>
      <c r="AG12" s="274" t="s">
        <v>503</v>
      </c>
      <c r="AH12" s="275" t="s">
        <v>503</v>
      </c>
      <c r="AI12" s="212"/>
      <c r="AJ12" s="274" t="s">
        <v>503</v>
      </c>
      <c r="AK12" s="274" t="s">
        <v>503</v>
      </c>
      <c r="AL12" s="274" t="s">
        <v>503</v>
      </c>
      <c r="AM12" s="275" t="s">
        <v>503</v>
      </c>
      <c r="AN12" s="212"/>
      <c r="AO12" s="213"/>
      <c r="AP12" s="213"/>
      <c r="AQ12" s="213"/>
      <c r="AR12" s="213"/>
      <c r="AS12" s="212">
        <f>'Pt 2 Premium and Claims'!AS$54</f>
        <v>2183031599.9982491</v>
      </c>
      <c r="AT12" s="214">
        <f>'Pt 2 Premium and Claims'!AT$54</f>
        <v>0</v>
      </c>
      <c r="AU12" s="214">
        <f>'Pt 2 Premium and Claims'!AU$54</f>
        <v>99277137.282561138</v>
      </c>
      <c r="AV12" s="291" t="s">
        <v>503</v>
      </c>
      <c r="AW12" s="296" t="s">
        <v>503</v>
      </c>
    </row>
    <row r="13" spans="1:49" ht="25.5" x14ac:dyDescent="0.2">
      <c r="B13" s="239" t="s">
        <v>230</v>
      </c>
      <c r="C13" s="203" t="s">
        <v>37</v>
      </c>
      <c r="D13" s="216">
        <f>[1]data!$C$28</f>
        <v>30619591.730000004</v>
      </c>
      <c r="E13" s="217">
        <f>[1]data!$J$28</f>
        <v>32196623.930000003</v>
      </c>
      <c r="F13" s="217">
        <v>0</v>
      </c>
      <c r="G13" s="268"/>
      <c r="H13" s="269"/>
      <c r="I13" s="216">
        <f>+E13</f>
        <v>32196623.930000003</v>
      </c>
      <c r="J13" s="216">
        <f>+[1]data!$D$28</f>
        <v>234189.68</v>
      </c>
      <c r="K13" s="217">
        <f>+[1]data!$K$28</f>
        <v>247651.36</v>
      </c>
      <c r="L13" s="217">
        <v>0</v>
      </c>
      <c r="M13" s="268"/>
      <c r="N13" s="269"/>
      <c r="O13" s="216">
        <f>+K13</f>
        <v>247651.36</v>
      </c>
      <c r="P13" s="216">
        <f>+[1]data!$E$28</f>
        <v>1228724.24</v>
      </c>
      <c r="Q13" s="217">
        <f>+[1]data!$L$28</f>
        <v>1228724.24</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f>+[1]data!$F$28</f>
        <v>585832387.27999997</v>
      </c>
      <c r="AT13" s="220">
        <v>0</v>
      </c>
      <c r="AU13" s="220">
        <f>+[1]data!$H$28</f>
        <v>10155830.262467932</v>
      </c>
      <c r="AV13" s="290"/>
      <c r="AW13" s="297"/>
    </row>
    <row r="14" spans="1:49" ht="25.5" x14ac:dyDescent="0.2">
      <c r="B14" s="239" t="s">
        <v>231</v>
      </c>
      <c r="C14" s="203" t="s">
        <v>6</v>
      </c>
      <c r="D14" s="216">
        <f>+'[1]Rebates Rec 2015'!$K$57</f>
        <v>885365.40872939047</v>
      </c>
      <c r="E14" s="217">
        <f>+D14</f>
        <v>885365.40872939047</v>
      </c>
      <c r="F14" s="217">
        <v>0</v>
      </c>
      <c r="G14" s="267"/>
      <c r="H14" s="270"/>
      <c r="I14" s="216">
        <f>+E14</f>
        <v>885365.40872939047</v>
      </c>
      <c r="J14" s="216">
        <f>+'[1]Rebates Rec 2015'!$L$57</f>
        <v>6810.0912706094832</v>
      </c>
      <c r="K14" s="217">
        <f>+J14</f>
        <v>6810.0912706094832</v>
      </c>
      <c r="L14" s="217">
        <v>0</v>
      </c>
      <c r="M14" s="267"/>
      <c r="N14" s="270"/>
      <c r="O14" s="216">
        <f>+K14</f>
        <v>6810.0912706094832</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f>+'[1]Rebates Rec 2015'!$D$57</f>
        <v>11525013.279999999</v>
      </c>
      <c r="AT14" s="220">
        <v>0</v>
      </c>
      <c r="AU14" s="220">
        <f>+'[1]Rebates Rec 2015'!$E$57</f>
        <v>7431418.4399999995</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f>+'[1]LOB Income Stmt'!$AO$102</f>
        <v>-16975513</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t="s">
        <v>503</v>
      </c>
      <c r="AF22" s="270" t="s">
        <v>503</v>
      </c>
      <c r="AG22" s="270" t="s">
        <v>503</v>
      </c>
      <c r="AH22" s="270" t="s">
        <v>503</v>
      </c>
      <c r="AI22" s="221"/>
      <c r="AJ22" s="270" t="s">
        <v>503</v>
      </c>
      <c r="AK22" s="270" t="s">
        <v>503</v>
      </c>
      <c r="AL22" s="270" t="s">
        <v>503</v>
      </c>
      <c r="AM22" s="270" t="s">
        <v>503</v>
      </c>
      <c r="AN22" s="221"/>
      <c r="AO22" s="222"/>
      <c r="AP22" s="222"/>
      <c r="AQ22" s="222"/>
      <c r="AR22" s="222"/>
      <c r="AS22" s="221">
        <f>'Pt 2 Premium and Claims'!AS$55</f>
        <v>0</v>
      </c>
      <c r="AT22" s="223">
        <f>'Pt 2 Premium and Claims'!AT$55</f>
        <v>0</v>
      </c>
      <c r="AU22" s="223">
        <f>'Pt 2 Premium and Claims'!AU$55</f>
        <v>0</v>
      </c>
      <c r="AV22" s="290" t="s">
        <v>503</v>
      </c>
      <c r="AW22" s="297" t="s">
        <v>503</v>
      </c>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f>+D25</f>
        <v>0</v>
      </c>
      <c r="F25" s="217">
        <v>0</v>
      </c>
      <c r="G25" s="217">
        <v>0</v>
      </c>
      <c r="H25" s="217">
        <v>0</v>
      </c>
      <c r="I25" s="216">
        <f t="shared" ref="I25:I28" si="0">+E25</f>
        <v>0</v>
      </c>
      <c r="J25" s="216">
        <v>0</v>
      </c>
      <c r="K25" s="217">
        <f>+J25</f>
        <v>0</v>
      </c>
      <c r="L25" s="217">
        <v>0</v>
      </c>
      <c r="M25" s="217">
        <v>0</v>
      </c>
      <c r="N25" s="217">
        <v>0</v>
      </c>
      <c r="O25" s="216">
        <f t="shared" ref="O25:O28" si="1">+K25</f>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f>[1]data!$C$61</f>
        <v>52668</v>
      </c>
      <c r="E26" s="217">
        <f>+D26</f>
        <v>52668</v>
      </c>
      <c r="F26" s="217">
        <v>0</v>
      </c>
      <c r="G26" s="217">
        <v>0</v>
      </c>
      <c r="H26" s="217">
        <v>0</v>
      </c>
      <c r="I26" s="216">
        <f t="shared" si="0"/>
        <v>52668</v>
      </c>
      <c r="J26" s="216">
        <f>[1]data!$D$61</f>
        <v>1190</v>
      </c>
      <c r="K26" s="217">
        <f t="shared" ref="K26:K28" si="2">+J26</f>
        <v>1190</v>
      </c>
      <c r="L26" s="217">
        <v>0</v>
      </c>
      <c r="M26" s="217">
        <v>0</v>
      </c>
      <c r="N26" s="217">
        <v>0</v>
      </c>
      <c r="O26" s="216">
        <f t="shared" si="1"/>
        <v>1190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f t="shared" ref="E27:E28" si="3">+D27</f>
        <v>0</v>
      </c>
      <c r="F27" s="217">
        <v>0</v>
      </c>
      <c r="G27" s="217">
        <v>0</v>
      </c>
      <c r="H27" s="217">
        <v>0</v>
      </c>
      <c r="I27" s="216">
        <f t="shared" si="0"/>
        <v>0</v>
      </c>
      <c r="J27" s="216">
        <v>0</v>
      </c>
      <c r="K27" s="217">
        <f t="shared" si="2"/>
        <v>0</v>
      </c>
      <c r="L27" s="217">
        <v>0</v>
      </c>
      <c r="M27" s="217">
        <v>0</v>
      </c>
      <c r="N27" s="217">
        <v>0</v>
      </c>
      <c r="O27" s="216">
        <f t="shared" si="1"/>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0</v>
      </c>
      <c r="E28" s="217">
        <f t="shared" si="3"/>
        <v>0</v>
      </c>
      <c r="F28" s="217">
        <v>0</v>
      </c>
      <c r="G28" s="217">
        <v>0</v>
      </c>
      <c r="H28" s="217">
        <v>0</v>
      </c>
      <c r="I28" s="216">
        <f t="shared" si="0"/>
        <v>0</v>
      </c>
      <c r="J28" s="216">
        <v>0</v>
      </c>
      <c r="K28" s="217">
        <f t="shared" si="2"/>
        <v>0</v>
      </c>
      <c r="L28" s="217">
        <v>0</v>
      </c>
      <c r="M28" s="217">
        <v>0</v>
      </c>
      <c r="N28" s="217">
        <v>0</v>
      </c>
      <c r="O28" s="216">
        <f t="shared" si="1"/>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f t="shared" ref="I30:I32" si="4">+E30</f>
        <v>0</v>
      </c>
      <c r="J30" s="216">
        <v>0</v>
      </c>
      <c r="K30" s="217">
        <v>0</v>
      </c>
      <c r="L30" s="217">
        <v>0</v>
      </c>
      <c r="M30" s="217">
        <v>0</v>
      </c>
      <c r="N30" s="217">
        <v>0</v>
      </c>
      <c r="O30" s="216">
        <f t="shared" ref="O30:O32" si="5">+K30</f>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f>[1]data!$C$62+[1]data!$C$70</f>
        <v>10566250.464084415</v>
      </c>
      <c r="E31" s="217">
        <f>[1]data!$J$70+[1]data!$J$62</f>
        <v>10751700.914423</v>
      </c>
      <c r="F31" s="217">
        <v>0</v>
      </c>
      <c r="G31" s="217">
        <v>0</v>
      </c>
      <c r="H31" s="217">
        <v>0</v>
      </c>
      <c r="I31" s="216">
        <f t="shared" si="4"/>
        <v>10751700.914423</v>
      </c>
      <c r="J31" s="216">
        <f>[1]data!$D$62+[1]data!$D$70</f>
        <v>208167.75032533333</v>
      </c>
      <c r="K31" s="217">
        <f>+[1]data!$K$62+[1]data!$K$70</f>
        <v>233287.53310033333</v>
      </c>
      <c r="L31" s="217">
        <v>0</v>
      </c>
      <c r="M31" s="217">
        <v>0</v>
      </c>
      <c r="N31" s="217">
        <v>0</v>
      </c>
      <c r="O31" s="216">
        <f t="shared" si="5"/>
        <v>233287.53310033333</v>
      </c>
      <c r="P31" s="216">
        <f>[1]data!$E$70</f>
        <v>1159085.899335278</v>
      </c>
      <c r="Q31" s="217">
        <f>[1]data!$L$70</f>
        <v>1106261.707045</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f>+[1]data!$F$70+[1]data!$F$62</f>
        <v>69299361.717545226</v>
      </c>
      <c r="AT31" s="220">
        <v>0</v>
      </c>
      <c r="AU31" s="220">
        <v>0</v>
      </c>
      <c r="AV31" s="220">
        <v>0</v>
      </c>
      <c r="AW31" s="297"/>
    </row>
    <row r="32" spans="1:49" ht="13.9" customHeight="1" x14ac:dyDescent="0.2">
      <c r="B32" s="242" t="s">
        <v>248</v>
      </c>
      <c r="C32" s="203" t="s">
        <v>82</v>
      </c>
      <c r="D32" s="216">
        <v>0</v>
      </c>
      <c r="E32" s="217">
        <v>0</v>
      </c>
      <c r="F32" s="217">
        <v>0</v>
      </c>
      <c r="G32" s="217">
        <v>0</v>
      </c>
      <c r="H32" s="217">
        <v>0</v>
      </c>
      <c r="I32" s="216">
        <f t="shared" si="4"/>
        <v>0</v>
      </c>
      <c r="J32" s="216">
        <v>0</v>
      </c>
      <c r="K32" s="217">
        <v>0</v>
      </c>
      <c r="L32" s="217">
        <v>0</v>
      </c>
      <c r="M32" s="217">
        <v>0</v>
      </c>
      <c r="N32" s="217">
        <v>0</v>
      </c>
      <c r="O32" s="216">
        <f t="shared" si="5"/>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f>[1]data!$C$63</f>
        <v>1391192</v>
      </c>
      <c r="E34" s="217">
        <f>+D34</f>
        <v>1391192</v>
      </c>
      <c r="F34" s="217">
        <v>0</v>
      </c>
      <c r="G34" s="217">
        <v>0</v>
      </c>
      <c r="H34" s="217">
        <v>0</v>
      </c>
      <c r="I34" s="216">
        <f t="shared" ref="I34:I35" si="6">+E34</f>
        <v>1391192</v>
      </c>
      <c r="J34" s="216">
        <f>[1]data!$D$63</f>
        <v>25036</v>
      </c>
      <c r="K34" s="217">
        <f>+J34</f>
        <v>25036</v>
      </c>
      <c r="L34" s="217">
        <v>0</v>
      </c>
      <c r="M34" s="217">
        <v>0</v>
      </c>
      <c r="N34" s="217">
        <v>0</v>
      </c>
      <c r="O34" s="216">
        <f t="shared" ref="O34:O35" si="7">+K34</f>
        <v>25036</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f>+[1]data!$C$64</f>
        <v>23300</v>
      </c>
      <c r="E35" s="217">
        <f>+D35</f>
        <v>23300</v>
      </c>
      <c r="F35" s="217">
        <v>0</v>
      </c>
      <c r="G35" s="217">
        <v>0</v>
      </c>
      <c r="H35" s="217">
        <v>0</v>
      </c>
      <c r="I35" s="216">
        <f t="shared" si="6"/>
        <v>23300</v>
      </c>
      <c r="J35" s="216">
        <f>+[1]data!$D$64</f>
        <v>544</v>
      </c>
      <c r="K35" s="217">
        <f>+J35</f>
        <v>544</v>
      </c>
      <c r="L35" s="217">
        <v>0</v>
      </c>
      <c r="M35" s="217">
        <v>0</v>
      </c>
      <c r="N35" s="217">
        <v>0</v>
      </c>
      <c r="O35" s="216">
        <f t="shared" si="7"/>
        <v>544</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f t="shared" ref="I37:I42" si="8">+E37</f>
        <v>0</v>
      </c>
      <c r="J37" s="224">
        <v>0</v>
      </c>
      <c r="K37" s="225">
        <v>0</v>
      </c>
      <c r="L37" s="225">
        <v>0</v>
      </c>
      <c r="M37" s="225">
        <v>0</v>
      </c>
      <c r="N37" s="225">
        <v>0</v>
      </c>
      <c r="O37" s="224">
        <f t="shared" ref="O37:O42" si="9">+K37</f>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v>0</v>
      </c>
      <c r="G38" s="217">
        <v>0</v>
      </c>
      <c r="H38" s="217">
        <v>0</v>
      </c>
      <c r="I38" s="216">
        <f t="shared" si="8"/>
        <v>0</v>
      </c>
      <c r="J38" s="216">
        <v>0</v>
      </c>
      <c r="K38" s="217">
        <v>0</v>
      </c>
      <c r="L38" s="217">
        <v>0</v>
      </c>
      <c r="M38" s="217">
        <v>0</v>
      </c>
      <c r="N38" s="217">
        <v>0</v>
      </c>
      <c r="O38" s="216">
        <f t="shared" si="9"/>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v>0</v>
      </c>
      <c r="G39" s="217">
        <v>0</v>
      </c>
      <c r="H39" s="217">
        <v>0</v>
      </c>
      <c r="I39" s="216">
        <f t="shared" si="8"/>
        <v>0</v>
      </c>
      <c r="J39" s="216">
        <v>0</v>
      </c>
      <c r="K39" s="217">
        <v>0</v>
      </c>
      <c r="L39" s="217">
        <v>0</v>
      </c>
      <c r="M39" s="217">
        <v>0</v>
      </c>
      <c r="N39" s="217">
        <v>0</v>
      </c>
      <c r="O39" s="216">
        <f t="shared" si="9"/>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v>0</v>
      </c>
      <c r="G40" s="217">
        <v>0</v>
      </c>
      <c r="H40" s="217">
        <v>0</v>
      </c>
      <c r="I40" s="216">
        <f t="shared" si="8"/>
        <v>0</v>
      </c>
      <c r="J40" s="216">
        <v>0</v>
      </c>
      <c r="K40" s="217">
        <v>0</v>
      </c>
      <c r="L40" s="217">
        <v>0</v>
      </c>
      <c r="M40" s="217">
        <v>0</v>
      </c>
      <c r="N40" s="217">
        <v>0</v>
      </c>
      <c r="O40" s="216">
        <f t="shared" si="9"/>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f>[1]data!$C$74</f>
        <v>0</v>
      </c>
      <c r="E41" s="217">
        <v>0</v>
      </c>
      <c r="F41" s="217">
        <v>0</v>
      </c>
      <c r="G41" s="217">
        <v>0</v>
      </c>
      <c r="H41" s="217">
        <v>0</v>
      </c>
      <c r="I41" s="216">
        <f>+E41</f>
        <v>0</v>
      </c>
      <c r="J41" s="216">
        <f>[1]data!$D$74</f>
        <v>0</v>
      </c>
      <c r="K41" s="217">
        <v>0</v>
      </c>
      <c r="L41" s="217">
        <v>0</v>
      </c>
      <c r="M41" s="217">
        <v>0</v>
      </c>
      <c r="N41" s="217">
        <v>0</v>
      </c>
      <c r="O41" s="216">
        <f t="shared" si="9"/>
        <v>0</v>
      </c>
      <c r="P41" s="216">
        <f>[1]data!$E$74</f>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v>
      </c>
      <c r="F42" s="217">
        <v>0</v>
      </c>
      <c r="G42" s="217">
        <v>0</v>
      </c>
      <c r="H42" s="217">
        <v>0</v>
      </c>
      <c r="I42" s="216">
        <f t="shared" si="8"/>
        <v>0</v>
      </c>
      <c r="J42" s="216">
        <v>0</v>
      </c>
      <c r="K42" s="217">
        <v>0</v>
      </c>
      <c r="L42" s="217">
        <v>0</v>
      </c>
      <c r="M42" s="217">
        <v>0</v>
      </c>
      <c r="N42" s="217">
        <v>0</v>
      </c>
      <c r="O42" s="216">
        <f t="shared" si="9"/>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v>0</v>
      </c>
      <c r="H44" s="225">
        <v>0</v>
      </c>
      <c r="I44" s="224">
        <f t="shared" ref="I44:I47" si="10">+E44</f>
        <v>0</v>
      </c>
      <c r="J44" s="224">
        <v>0</v>
      </c>
      <c r="K44" s="225">
        <v>0</v>
      </c>
      <c r="L44" s="225">
        <v>0</v>
      </c>
      <c r="M44" s="225">
        <v>0</v>
      </c>
      <c r="N44" s="225">
        <v>0</v>
      </c>
      <c r="O44" s="224">
        <f t="shared" ref="O44:O47" si="11">+K44</f>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v>
      </c>
      <c r="E45" s="217">
        <v>0</v>
      </c>
      <c r="F45" s="217">
        <v>0</v>
      </c>
      <c r="G45" s="217">
        <v>0</v>
      </c>
      <c r="H45" s="217">
        <v>0</v>
      </c>
      <c r="I45" s="216">
        <f t="shared" si="10"/>
        <v>0</v>
      </c>
      <c r="J45" s="216">
        <v>0</v>
      </c>
      <c r="K45" s="217">
        <v>0</v>
      </c>
      <c r="L45" s="217">
        <v>0</v>
      </c>
      <c r="M45" s="217">
        <v>0</v>
      </c>
      <c r="N45" s="217">
        <v>0</v>
      </c>
      <c r="O45" s="216">
        <f t="shared" si="11"/>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0</v>
      </c>
      <c r="E46" s="217">
        <v>0</v>
      </c>
      <c r="F46" s="217">
        <v>0</v>
      </c>
      <c r="G46" s="217">
        <v>0</v>
      </c>
      <c r="H46" s="217">
        <v>0</v>
      </c>
      <c r="I46" s="216">
        <f t="shared" si="10"/>
        <v>0</v>
      </c>
      <c r="J46" s="216">
        <v>0</v>
      </c>
      <c r="K46" s="217">
        <v>0</v>
      </c>
      <c r="L46" s="217">
        <v>0</v>
      </c>
      <c r="M46" s="217">
        <v>0</v>
      </c>
      <c r="N46" s="217">
        <v>0</v>
      </c>
      <c r="O46" s="216">
        <f t="shared" si="11"/>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v>0</v>
      </c>
      <c r="F47" s="217">
        <v>0</v>
      </c>
      <c r="G47" s="217">
        <v>0</v>
      </c>
      <c r="H47" s="217">
        <v>0</v>
      </c>
      <c r="I47" s="216">
        <f t="shared" si="10"/>
        <v>0</v>
      </c>
      <c r="J47" s="216">
        <v>0</v>
      </c>
      <c r="K47" s="217">
        <v>0</v>
      </c>
      <c r="L47" s="217">
        <v>0</v>
      </c>
      <c r="M47" s="217">
        <v>0</v>
      </c>
      <c r="N47" s="217">
        <v>0</v>
      </c>
      <c r="O47" s="216">
        <f t="shared" si="11"/>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f t="shared" ref="I49:I50" si="12">+E49</f>
        <v>0</v>
      </c>
      <c r="J49" s="216">
        <v>0</v>
      </c>
      <c r="K49" s="217">
        <v>0</v>
      </c>
      <c r="L49" s="217">
        <v>0</v>
      </c>
      <c r="M49" s="217">
        <v>0</v>
      </c>
      <c r="N49" s="217">
        <v>0</v>
      </c>
      <c r="O49" s="216">
        <f t="shared" ref="O49:O53" si="13">+K49</f>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f t="shared" si="12"/>
        <v>0</v>
      </c>
      <c r="J50" s="216">
        <v>0</v>
      </c>
      <c r="K50" s="217">
        <v>0</v>
      </c>
      <c r="L50" s="217">
        <v>0</v>
      </c>
      <c r="M50" s="217">
        <v>0</v>
      </c>
      <c r="N50" s="217">
        <v>0</v>
      </c>
      <c r="O50" s="216">
        <f t="shared" si="13"/>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f>[1]data!$C$76</f>
        <v>13288870</v>
      </c>
      <c r="E51" s="217">
        <f>+D51</f>
        <v>13288870</v>
      </c>
      <c r="F51" s="217">
        <v>0</v>
      </c>
      <c r="G51" s="217">
        <v>0</v>
      </c>
      <c r="H51" s="217">
        <v>0</v>
      </c>
      <c r="I51" s="216">
        <f>+E51</f>
        <v>13288870</v>
      </c>
      <c r="J51" s="216">
        <f>[1]data!$D$76</f>
        <v>309987</v>
      </c>
      <c r="K51" s="217">
        <f>+J51</f>
        <v>309987</v>
      </c>
      <c r="L51" s="217">
        <v>0</v>
      </c>
      <c r="M51" s="217">
        <v>0</v>
      </c>
      <c r="N51" s="217">
        <v>0</v>
      </c>
      <c r="O51" s="216">
        <f>+K51</f>
        <v>309987</v>
      </c>
      <c r="P51" s="216">
        <f>[1]data!$E$76</f>
        <v>1842069.3340798451</v>
      </c>
      <c r="Q51" s="217">
        <f>+P51</f>
        <v>1842069.3340798451</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f>+[1]data!$F$76</f>
        <v>149037779.25151101</v>
      </c>
      <c r="AT51" s="220">
        <v>0</v>
      </c>
      <c r="AU51" s="220">
        <f>+[1]data!$H$76</f>
        <v>14680166.192074308</v>
      </c>
      <c r="AV51" s="220">
        <v>0</v>
      </c>
      <c r="AW51" s="297"/>
    </row>
    <row r="52" spans="2:49" ht="25.5" x14ac:dyDescent="0.2">
      <c r="B52" s="239" t="s">
        <v>267</v>
      </c>
      <c r="C52" s="203" t="s">
        <v>89</v>
      </c>
      <c r="D52" s="216">
        <v>0</v>
      </c>
      <c r="E52" s="217">
        <v>0</v>
      </c>
      <c r="F52" s="217">
        <v>0</v>
      </c>
      <c r="G52" s="217">
        <v>0</v>
      </c>
      <c r="H52" s="217">
        <v>0</v>
      </c>
      <c r="I52" s="216">
        <f t="shared" ref="I52:I53" si="14">+E52</f>
        <v>0</v>
      </c>
      <c r="J52" s="216">
        <v>0</v>
      </c>
      <c r="K52" s="217">
        <v>0</v>
      </c>
      <c r="L52" s="217">
        <v>0</v>
      </c>
      <c r="M52" s="217">
        <v>0</v>
      </c>
      <c r="N52" s="217">
        <v>0</v>
      </c>
      <c r="O52" s="216">
        <f t="shared" si="13"/>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f t="shared" si="14"/>
        <v>0</v>
      </c>
      <c r="J53" s="216">
        <v>0</v>
      </c>
      <c r="K53" s="217">
        <v>0</v>
      </c>
      <c r="L53" s="217">
        <v>0</v>
      </c>
      <c r="M53" s="268"/>
      <c r="N53" s="268"/>
      <c r="O53" s="216">
        <f t="shared" si="13"/>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f>[1]data!C47</f>
        <v>17886</v>
      </c>
      <c r="E56" s="229">
        <f>+D56</f>
        <v>17886</v>
      </c>
      <c r="F56" s="229">
        <v>0</v>
      </c>
      <c r="G56" s="229">
        <v>0</v>
      </c>
      <c r="H56" s="229">
        <v>0</v>
      </c>
      <c r="I56" s="228">
        <f>+E56</f>
        <v>17886</v>
      </c>
      <c r="J56" s="228">
        <f>[1]data!D47</f>
        <v>644</v>
      </c>
      <c r="K56" s="229">
        <f>+J56</f>
        <v>644</v>
      </c>
      <c r="L56" s="229">
        <v>0</v>
      </c>
      <c r="M56" s="229">
        <v>0</v>
      </c>
      <c r="N56" s="229">
        <v>0</v>
      </c>
      <c r="O56" s="228">
        <f>+J56</f>
        <v>644</v>
      </c>
      <c r="P56" s="228">
        <f>[1]data!E47</f>
        <v>1907</v>
      </c>
      <c r="Q56" s="229">
        <f>+P56</f>
        <v>1907</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f>[1]data!F47</f>
        <v>442411</v>
      </c>
      <c r="AT56" s="230">
        <f>[1]data!G47</f>
        <v>0</v>
      </c>
      <c r="AU56" s="230">
        <f>[1]data!H47</f>
        <v>8524</v>
      </c>
      <c r="AV56" s="230">
        <v>0</v>
      </c>
      <c r="AW56" s="288"/>
    </row>
    <row r="57" spans="2:49" x14ac:dyDescent="0.2">
      <c r="B57" s="245" t="s">
        <v>272</v>
      </c>
      <c r="C57" s="203" t="s">
        <v>25</v>
      </c>
      <c r="D57" s="231">
        <f>[1]data!C48</f>
        <v>21493</v>
      </c>
      <c r="E57" s="232">
        <f>+D57</f>
        <v>21493</v>
      </c>
      <c r="F57" s="232">
        <v>0</v>
      </c>
      <c r="G57" s="232">
        <v>0</v>
      </c>
      <c r="H57" s="232">
        <v>0</v>
      </c>
      <c r="I57" s="231">
        <f>+E57</f>
        <v>21493</v>
      </c>
      <c r="J57" s="231">
        <f>[1]data!D48</f>
        <v>765</v>
      </c>
      <c r="K57" s="232">
        <f t="shared" ref="K57:K59" si="15">+J57</f>
        <v>765</v>
      </c>
      <c r="L57" s="232">
        <v>0</v>
      </c>
      <c r="M57" s="232">
        <v>0</v>
      </c>
      <c r="N57" s="232">
        <v>0</v>
      </c>
      <c r="O57" s="231">
        <f t="shared" ref="O57:O59" si="16">+J57</f>
        <v>765</v>
      </c>
      <c r="P57" s="231">
        <f>[1]data!E48</f>
        <v>3845</v>
      </c>
      <c r="Q57" s="232">
        <f t="shared" ref="Q57:Q59" si="17">+P57</f>
        <v>3845</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f>[1]data!F48</f>
        <v>442411</v>
      </c>
      <c r="AT57" s="233">
        <f>[1]data!G48</f>
        <v>0</v>
      </c>
      <c r="AU57" s="233">
        <f>[1]data!H48</f>
        <v>8524</v>
      </c>
      <c r="AV57" s="233">
        <v>0</v>
      </c>
      <c r="AW57" s="289"/>
    </row>
    <row r="58" spans="2:49" x14ac:dyDescent="0.2">
      <c r="B58" s="245" t="s">
        <v>273</v>
      </c>
      <c r="C58" s="203" t="s">
        <v>26</v>
      </c>
      <c r="D58" s="309"/>
      <c r="E58" s="310"/>
      <c r="F58" s="310"/>
      <c r="G58" s="310"/>
      <c r="H58" s="310"/>
      <c r="I58" s="309"/>
      <c r="J58" s="231">
        <f>[1]data!D49</f>
        <v>352</v>
      </c>
      <c r="K58" s="232">
        <f t="shared" si="15"/>
        <v>352</v>
      </c>
      <c r="L58" s="232">
        <v>0</v>
      </c>
      <c r="M58" s="232">
        <v>0</v>
      </c>
      <c r="N58" s="232">
        <v>0</v>
      </c>
      <c r="O58" s="231">
        <f t="shared" si="16"/>
        <v>352</v>
      </c>
      <c r="P58" s="231">
        <f>[1]data!E49</f>
        <v>1</v>
      </c>
      <c r="Q58" s="232">
        <f t="shared" si="17"/>
        <v>1</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f>[1]data!F49</f>
        <v>1</v>
      </c>
      <c r="AT58" s="233">
        <f>[1]data!G49</f>
        <v>0</v>
      </c>
      <c r="AU58" s="233">
        <f>[1]data!H49</f>
        <v>1</v>
      </c>
      <c r="AV58" s="233">
        <v>0</v>
      </c>
      <c r="AW58" s="289"/>
    </row>
    <row r="59" spans="2:49" x14ac:dyDescent="0.2">
      <c r="B59" s="245" t="s">
        <v>274</v>
      </c>
      <c r="C59" s="203" t="s">
        <v>27</v>
      </c>
      <c r="D59" s="231">
        <f>[1]data!C50</f>
        <v>286497</v>
      </c>
      <c r="E59" s="232">
        <f>+D59</f>
        <v>286497</v>
      </c>
      <c r="F59" s="232">
        <v>0</v>
      </c>
      <c r="G59" s="232">
        <v>0</v>
      </c>
      <c r="H59" s="232">
        <v>0</v>
      </c>
      <c r="I59" s="231">
        <f>+E59</f>
        <v>286497</v>
      </c>
      <c r="J59" s="231">
        <f>[1]data!D50</f>
        <v>6620</v>
      </c>
      <c r="K59" s="232">
        <f t="shared" si="15"/>
        <v>6620</v>
      </c>
      <c r="L59" s="232">
        <v>0</v>
      </c>
      <c r="M59" s="232">
        <v>0</v>
      </c>
      <c r="N59" s="232">
        <v>0</v>
      </c>
      <c r="O59" s="231">
        <f t="shared" si="16"/>
        <v>6620</v>
      </c>
      <c r="P59" s="231">
        <f>[1]data!E50</f>
        <v>43787</v>
      </c>
      <c r="Q59" s="232">
        <f t="shared" si="17"/>
        <v>43787</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f>[1]data!F50</f>
        <v>5204819</v>
      </c>
      <c r="AT59" s="233">
        <f>[1]data!G50</f>
        <v>0</v>
      </c>
      <c r="AU59" s="233">
        <f>[1]data!H50</f>
        <v>102718</v>
      </c>
      <c r="AV59" s="233">
        <v>0</v>
      </c>
      <c r="AW59" s="289"/>
    </row>
    <row r="60" spans="2:49" x14ac:dyDescent="0.2">
      <c r="B60" s="245" t="s">
        <v>275</v>
      </c>
      <c r="C60" s="203"/>
      <c r="D60" s="234">
        <f>D59/12</f>
        <v>23874.75</v>
      </c>
      <c r="E60" s="235">
        <f t="shared" ref="E60:AC60" si="18">E59/12</f>
        <v>23874.75</v>
      </c>
      <c r="F60" s="235">
        <f t="shared" si="18"/>
        <v>0</v>
      </c>
      <c r="G60" s="235">
        <f t="shared" si="18"/>
        <v>0</v>
      </c>
      <c r="H60" s="235">
        <f t="shared" si="18"/>
        <v>0</v>
      </c>
      <c r="I60" s="234">
        <f t="shared" si="18"/>
        <v>23874.75</v>
      </c>
      <c r="J60" s="234">
        <f t="shared" si="18"/>
        <v>551.66666666666663</v>
      </c>
      <c r="K60" s="235">
        <f t="shared" si="18"/>
        <v>551.66666666666663</v>
      </c>
      <c r="L60" s="235">
        <f t="shared" si="18"/>
        <v>0</v>
      </c>
      <c r="M60" s="235">
        <f t="shared" si="18"/>
        <v>0</v>
      </c>
      <c r="N60" s="235">
        <f t="shared" si="18"/>
        <v>0</v>
      </c>
      <c r="O60" s="234">
        <f t="shared" si="18"/>
        <v>551.66666666666663</v>
      </c>
      <c r="P60" s="234">
        <f t="shared" si="18"/>
        <v>3648.9166666666665</v>
      </c>
      <c r="Q60" s="235">
        <f t="shared" si="18"/>
        <v>3648.9166666666665</v>
      </c>
      <c r="R60" s="235">
        <f t="shared" si="18"/>
        <v>0</v>
      </c>
      <c r="S60" s="235">
        <f t="shared" si="18"/>
        <v>0</v>
      </c>
      <c r="T60" s="235">
        <f t="shared" si="18"/>
        <v>0</v>
      </c>
      <c r="U60" s="234">
        <f t="shared" si="18"/>
        <v>0</v>
      </c>
      <c r="V60" s="235">
        <f t="shared" si="18"/>
        <v>0</v>
      </c>
      <c r="W60" s="235">
        <f t="shared" si="18"/>
        <v>0</v>
      </c>
      <c r="X60" s="234">
        <f t="shared" si="18"/>
        <v>0</v>
      </c>
      <c r="Y60" s="235">
        <f t="shared" si="18"/>
        <v>0</v>
      </c>
      <c r="Z60" s="235">
        <f t="shared" si="18"/>
        <v>0</v>
      </c>
      <c r="AA60" s="234">
        <f t="shared" si="18"/>
        <v>0</v>
      </c>
      <c r="AB60" s="235">
        <f t="shared" si="18"/>
        <v>0</v>
      </c>
      <c r="AC60" s="235">
        <f t="shared" si="18"/>
        <v>0</v>
      </c>
      <c r="AD60" s="234"/>
      <c r="AE60" s="283"/>
      <c r="AF60" s="283"/>
      <c r="AG60" s="283"/>
      <c r="AH60" s="284"/>
      <c r="AI60" s="234"/>
      <c r="AJ60" s="283"/>
      <c r="AK60" s="283"/>
      <c r="AL60" s="283"/>
      <c r="AM60" s="284"/>
      <c r="AN60" s="234"/>
      <c r="AO60" s="235"/>
      <c r="AP60" s="235"/>
      <c r="AQ60" s="235"/>
      <c r="AR60" s="235"/>
      <c r="AS60" s="234">
        <f t="shared" ref="AS60" si="19">AS59/12</f>
        <v>433734.91666666669</v>
      </c>
      <c r="AT60" s="236">
        <f t="shared" ref="AT60" si="20">AT59/12</f>
        <v>0</v>
      </c>
      <c r="AU60" s="236">
        <f t="shared" ref="AU60" si="21">AU59/12</f>
        <v>8559.8333333333339</v>
      </c>
      <c r="AV60" s="236">
        <f t="shared" ref="AV60" si="22">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5" zoomScaleNormal="85" workbookViewId="0">
      <pane xSplit="2" ySplit="3" topLeftCell="C34" activePane="bottomRight" state="frozen"/>
      <selection activeCell="B1" sqref="B1"/>
      <selection pane="topRight" activeCell="B1" sqref="B1"/>
      <selection pane="bottomLeft" activeCell="B1" sqref="B1"/>
      <selection pane="bottomRight" activeCell="P49" sqref="P4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f>+'[1]HBX 12-31 '!$C$155</f>
        <v>116013251.03</v>
      </c>
      <c r="E5" s="326">
        <f>+'[1]HBX 12-31 '!$L$155</f>
        <v>115991995.63</v>
      </c>
      <c r="F5" s="326">
        <v>0</v>
      </c>
      <c r="G5" s="328">
        <v>0</v>
      </c>
      <c r="H5" s="328">
        <v>0</v>
      </c>
      <c r="I5" s="325">
        <f>+E5</f>
        <v>115991995.63</v>
      </c>
      <c r="J5" s="325">
        <f>+'[1]HBX 12-31 '!$E$138</f>
        <v>3122336.65</v>
      </c>
      <c r="K5" s="326">
        <f>+'[1]HBX 12-31 '!$O$155</f>
        <v>3357471.94</v>
      </c>
      <c r="L5" s="326">
        <v>0</v>
      </c>
      <c r="M5" s="326">
        <v>0</v>
      </c>
      <c r="N5" s="326">
        <v>0</v>
      </c>
      <c r="O5" s="325">
        <f>K5</f>
        <v>3357471.94</v>
      </c>
      <c r="P5" s="325">
        <f>+[1]data!$E$6</f>
        <v>21871177.359999999</v>
      </c>
      <c r="Q5" s="326">
        <f>+P5</f>
        <v>21871177.359999999</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f>+[1]govt_breakout!$J$13</f>
        <v>2341320677.9707932</v>
      </c>
      <c r="AT5" s="327">
        <v>0</v>
      </c>
      <c r="AU5" s="327">
        <f>+[1]data!$H$13</f>
        <v>104372780.22475791</v>
      </c>
      <c r="AV5" s="369"/>
      <c r="AW5" s="373"/>
    </row>
    <row r="6" spans="2:49" x14ac:dyDescent="0.2">
      <c r="B6" s="343" t="s">
        <v>278</v>
      </c>
      <c r="C6" s="331" t="s">
        <v>8</v>
      </c>
      <c r="D6" s="318">
        <f>+'[1]HBX 12-31 '!$C$160</f>
        <v>627872.15625</v>
      </c>
      <c r="E6" s="319">
        <f>+'[1]HBX 12-31 '!$L$160</f>
        <v>627872.15625</v>
      </c>
      <c r="F6" s="319">
        <v>0</v>
      </c>
      <c r="G6" s="320">
        <v>0</v>
      </c>
      <c r="H6" s="320">
        <v>0</v>
      </c>
      <c r="I6" s="318">
        <f>+E6</f>
        <v>627872.15625</v>
      </c>
      <c r="J6" s="318">
        <v>0</v>
      </c>
      <c r="K6" s="319">
        <f>+'[1]HBX 12-31 '!$O$160</f>
        <v>0</v>
      </c>
      <c r="L6" s="319">
        <v>0</v>
      </c>
      <c r="M6" s="319">
        <v>0</v>
      </c>
      <c r="N6" s="319">
        <v>0</v>
      </c>
      <c r="O6" s="318">
        <f t="shared" ref="O6:O7" si="0">K6</f>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f>+'[1]HBX 12-31 '!$C$164</f>
        <v>890583.01375000179</v>
      </c>
      <c r="E7" s="319">
        <f>+'[1]HBX 12-31 '!$L$164</f>
        <v>869327.61375000176</v>
      </c>
      <c r="F7" s="319">
        <v>0</v>
      </c>
      <c r="G7" s="320">
        <v>0</v>
      </c>
      <c r="H7" s="320">
        <v>0</v>
      </c>
      <c r="I7" s="318">
        <f>+E7</f>
        <v>869327.61375000176</v>
      </c>
      <c r="J7" s="318">
        <v>0</v>
      </c>
      <c r="K7" s="319">
        <f>+'[1]HBX 12-31 '!$O$164</f>
        <v>0</v>
      </c>
      <c r="L7" s="319">
        <v>0</v>
      </c>
      <c r="M7" s="319">
        <v>0</v>
      </c>
      <c r="N7" s="319">
        <v>0</v>
      </c>
      <c r="O7" s="318">
        <f t="shared" si="0"/>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f t="shared" ref="I10:I11" si="1">+E10</f>
        <v>0</v>
      </c>
      <c r="J10" s="365"/>
      <c r="K10" s="319">
        <v>0</v>
      </c>
      <c r="L10" s="319">
        <v>0</v>
      </c>
      <c r="M10" s="319">
        <v>0</v>
      </c>
      <c r="N10" s="319">
        <v>0</v>
      </c>
      <c r="O10" s="318">
        <f t="shared" ref="O10:O11" si="2">K10</f>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f t="shared" si="1"/>
        <v>0</v>
      </c>
      <c r="J11" s="318">
        <v>0</v>
      </c>
      <c r="K11" s="319">
        <v>0</v>
      </c>
      <c r="L11" s="319">
        <v>0</v>
      </c>
      <c r="M11" s="319">
        <v>0</v>
      </c>
      <c r="N11" s="319">
        <v>0</v>
      </c>
      <c r="O11" s="318">
        <f t="shared" si="2"/>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f t="shared" ref="I13:I14" si="3">+E13</f>
        <v>0</v>
      </c>
      <c r="J13" s="318">
        <v>0</v>
      </c>
      <c r="K13" s="319">
        <v>0</v>
      </c>
      <c r="L13" s="319">
        <v>0</v>
      </c>
      <c r="M13" s="319">
        <v>0</v>
      </c>
      <c r="N13" s="319">
        <v>0</v>
      </c>
      <c r="O13" s="318">
        <f t="shared" ref="O13:O14" si="4">K13</f>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v>0</v>
      </c>
      <c r="H14" s="319">
        <v>0</v>
      </c>
      <c r="I14" s="318">
        <f t="shared" si="3"/>
        <v>0</v>
      </c>
      <c r="J14" s="318">
        <v>0</v>
      </c>
      <c r="K14" s="319">
        <v>0</v>
      </c>
      <c r="L14" s="319">
        <v>0</v>
      </c>
      <c r="M14" s="319">
        <v>0</v>
      </c>
      <c r="N14" s="319">
        <v>0</v>
      </c>
      <c r="O14" s="318">
        <f t="shared" si="4"/>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f>+[1]data!$C$8</f>
        <v>4202000</v>
      </c>
      <c r="E15" s="319">
        <f>+[1]data!$J$8</f>
        <v>5188576.67</v>
      </c>
      <c r="F15" s="319">
        <v>0</v>
      </c>
      <c r="G15" s="319">
        <v>0</v>
      </c>
      <c r="H15" s="319">
        <v>0</v>
      </c>
      <c r="I15" s="318">
        <f>+E15</f>
        <v>5188576.67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f>+[1]data!$C$7</f>
        <v>-33366713</v>
      </c>
      <c r="E16" s="319">
        <f>+[1]data!$J$7</f>
        <v>-30571356.27</v>
      </c>
      <c r="F16" s="319">
        <v>0</v>
      </c>
      <c r="G16" s="319">
        <v>0</v>
      </c>
      <c r="H16" s="319">
        <v>0</v>
      </c>
      <c r="I16" s="318">
        <f>+E16</f>
        <v>-30571356.27</v>
      </c>
      <c r="J16" s="318">
        <f>+[1]data!$D$7</f>
        <v>-1543462</v>
      </c>
      <c r="K16" s="319">
        <f>+[1]data!$K$7</f>
        <v>-1666323.89</v>
      </c>
      <c r="L16" s="319">
        <v>0</v>
      </c>
      <c r="M16" s="319">
        <v>0</v>
      </c>
      <c r="N16" s="319">
        <v>0</v>
      </c>
      <c r="O16" s="318">
        <f>K16</f>
        <v>-1666323.89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f>+E18</f>
        <v>0</v>
      </c>
      <c r="J18" s="318">
        <v>0</v>
      </c>
      <c r="K18" s="319">
        <v>0</v>
      </c>
      <c r="L18" s="319">
        <v>0</v>
      </c>
      <c r="M18" s="319">
        <v>0</v>
      </c>
      <c r="N18" s="319">
        <v>0</v>
      </c>
      <c r="O18" s="318">
        <f>K18</f>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f>+E19</f>
        <v>0</v>
      </c>
      <c r="J19" s="318">
        <v>0</v>
      </c>
      <c r="K19" s="319">
        <v>0</v>
      </c>
      <c r="L19" s="319">
        <v>0</v>
      </c>
      <c r="M19" s="319">
        <v>0</v>
      </c>
      <c r="N19" s="319">
        <v>0</v>
      </c>
      <c r="O19" s="318">
        <f>+K19</f>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f>+'[1]HBX 12-31 '!$C$148</f>
        <v>58095350.199999996</v>
      </c>
      <c r="E20" s="319">
        <f>+D20</f>
        <v>58095350.199999996</v>
      </c>
      <c r="F20" s="319">
        <v>0</v>
      </c>
      <c r="G20" s="319">
        <v>0</v>
      </c>
      <c r="H20" s="319">
        <v>0</v>
      </c>
      <c r="I20" s="318">
        <f>+E20</f>
        <v>58095350.199999996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f>+[1]data!$C$30</f>
        <v>76617255.513743013</v>
      </c>
      <c r="E23" s="362"/>
      <c r="F23" s="362"/>
      <c r="G23" s="362"/>
      <c r="H23" s="362"/>
      <c r="I23" s="364"/>
      <c r="J23" s="318">
        <f>+[1]data!$D$30</f>
        <v>1258297.381616916</v>
      </c>
      <c r="K23" s="362"/>
      <c r="L23" s="362"/>
      <c r="M23" s="362"/>
      <c r="N23" s="362"/>
      <c r="O23" s="364"/>
      <c r="P23" s="318">
        <f>+[1]data!$E$30</f>
        <v>8305670.4890030809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f>+[1]data!$F$30</f>
        <v>1825349119.0693166</v>
      </c>
      <c r="AT23" s="321">
        <f>+[1]data!$G$30</f>
        <v>0</v>
      </c>
      <c r="AU23" s="321">
        <f>+[1]data!$H$30</f>
        <v>84745553.428278908</v>
      </c>
      <c r="AV23" s="368"/>
      <c r="AW23" s="374"/>
    </row>
    <row r="24" spans="2:49" ht="28.5" customHeight="1" x14ac:dyDescent="0.2">
      <c r="B24" s="345" t="s">
        <v>114</v>
      </c>
      <c r="C24" s="331"/>
      <c r="D24" s="365"/>
      <c r="E24" s="319">
        <f>+[1]data!$J$20</f>
        <v>79762619.6130431</v>
      </c>
      <c r="F24" s="319">
        <v>0</v>
      </c>
      <c r="G24" s="319">
        <v>0</v>
      </c>
      <c r="H24" s="319">
        <v>0</v>
      </c>
      <c r="I24" s="318">
        <f>+E24</f>
        <v>79762619.6130431</v>
      </c>
      <c r="J24" s="365"/>
      <c r="K24" s="319">
        <f>+[1]data!$K$20</f>
        <v>1456719.2120780176</v>
      </c>
      <c r="L24" s="319">
        <v>0</v>
      </c>
      <c r="M24" s="319">
        <v>0</v>
      </c>
      <c r="N24" s="319">
        <v>0</v>
      </c>
      <c r="O24" s="318">
        <f>+K24</f>
        <v>1456719.2120780176</v>
      </c>
      <c r="P24" s="365"/>
      <c r="Q24" s="319">
        <f>+[1]data!$L$20</f>
        <v>7298318.2763907854</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f>+[1]data!$C$45</f>
        <v>10625357.241585387</v>
      </c>
      <c r="E26" s="362"/>
      <c r="F26" s="362"/>
      <c r="G26" s="362"/>
      <c r="H26" s="362"/>
      <c r="I26" s="364"/>
      <c r="J26" s="318">
        <f>+[1]data!$D$45</f>
        <v>262101.92376322852</v>
      </c>
      <c r="K26" s="362"/>
      <c r="L26" s="362"/>
      <c r="M26" s="362"/>
      <c r="N26" s="362"/>
      <c r="O26" s="364"/>
      <c r="P26" s="318">
        <f>+[1]data!$E$45</f>
        <v>579118.30989603116</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f>+[1]data!$F$45</f>
        <v>173781650.9204607</v>
      </c>
      <c r="AT26" s="321">
        <f>+[1]data!$G$45</f>
        <v>0</v>
      </c>
      <c r="AU26" s="321">
        <f>+[1]data!$H$45</f>
        <v>14616386.230093183</v>
      </c>
      <c r="AV26" s="368"/>
      <c r="AW26" s="374"/>
    </row>
    <row r="27" spans="2:49" s="5" customFormat="1" ht="25.5" x14ac:dyDescent="0.2">
      <c r="B27" s="345" t="s">
        <v>85</v>
      </c>
      <c r="C27" s="331"/>
      <c r="D27" s="365"/>
      <c r="E27" s="319">
        <f>+[1]data!$J$35</f>
        <v>3148774.8044963516</v>
      </c>
      <c r="F27" s="319">
        <v>0</v>
      </c>
      <c r="G27" s="319">
        <v>0</v>
      </c>
      <c r="H27" s="319">
        <v>0</v>
      </c>
      <c r="I27" s="318">
        <f>+E27</f>
        <v>3148774.8044963516</v>
      </c>
      <c r="J27" s="365"/>
      <c r="K27" s="319">
        <f>+[1]data!$K$35</f>
        <v>65653.656682476343</v>
      </c>
      <c r="L27" s="319">
        <v>0</v>
      </c>
      <c r="M27" s="319">
        <v>0</v>
      </c>
      <c r="N27" s="319">
        <v>0</v>
      </c>
      <c r="O27" s="318">
        <f>+K27</f>
        <v>65653.656682476343</v>
      </c>
      <c r="P27" s="365"/>
      <c r="Q27" s="319">
        <f>+[1]data!$L$35</f>
        <v>88966.245617930574</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f>+[1]data!$C$40</f>
        <v>33540.62374301417</v>
      </c>
      <c r="E28" s="363"/>
      <c r="F28" s="363"/>
      <c r="G28" s="363"/>
      <c r="H28" s="363"/>
      <c r="I28" s="365"/>
      <c r="J28" s="318">
        <f>+[1]data!$D$40</f>
        <v>393.34161691610643</v>
      </c>
      <c r="K28" s="363"/>
      <c r="L28" s="363"/>
      <c r="M28" s="363"/>
      <c r="N28" s="363"/>
      <c r="O28" s="365"/>
      <c r="P28" s="318">
        <f>+[1]data!$E$40</f>
        <v>7118.4790030811928</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f>+[1]data!$F$40</f>
        <v>1651485.1193166794</v>
      </c>
      <c r="AT28" s="321">
        <f>+[1]data!$G$40</f>
        <v>0</v>
      </c>
      <c r="AU28" s="321">
        <f>+[1]data!$H$40</f>
        <v>84802.375810955011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f>+E31</f>
        <v>0</v>
      </c>
      <c r="J31" s="365"/>
      <c r="K31" s="319">
        <v>0</v>
      </c>
      <c r="L31" s="319">
        <v>0</v>
      </c>
      <c r="M31" s="319">
        <v>0</v>
      </c>
      <c r="N31" s="319">
        <v>0</v>
      </c>
      <c r="O31" s="318">
        <f>+K31</f>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f t="shared" ref="I35:I36" si="5">+E35</f>
        <v>0</v>
      </c>
      <c r="J35" s="365"/>
      <c r="K35" s="319">
        <v>0</v>
      </c>
      <c r="L35" s="319">
        <v>0</v>
      </c>
      <c r="M35" s="319">
        <v>0</v>
      </c>
      <c r="N35" s="319">
        <v>0</v>
      </c>
      <c r="O35" s="318">
        <f>+K35</f>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f t="shared" si="5"/>
        <v>0</v>
      </c>
      <c r="J36" s="318">
        <v>0</v>
      </c>
      <c r="K36" s="319">
        <v>0</v>
      </c>
      <c r="L36" s="319">
        <v>0</v>
      </c>
      <c r="M36" s="319">
        <v>0</v>
      </c>
      <c r="N36" s="319">
        <v>0</v>
      </c>
      <c r="O36" s="318">
        <f>+K36</f>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f>+E39</f>
        <v>0</v>
      </c>
      <c r="J39" s="365"/>
      <c r="K39" s="319">
        <v>0</v>
      </c>
      <c r="L39" s="319">
        <v>0</v>
      </c>
      <c r="M39" s="319">
        <v>0</v>
      </c>
      <c r="N39" s="319">
        <v>0</v>
      </c>
      <c r="O39" s="318">
        <f>+K39</f>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f>+E42</f>
        <v>0</v>
      </c>
      <c r="J42" s="365"/>
      <c r="K42" s="319">
        <v>0</v>
      </c>
      <c r="L42" s="319">
        <v>0</v>
      </c>
      <c r="M42" s="319">
        <v>0</v>
      </c>
      <c r="N42" s="319">
        <v>0</v>
      </c>
      <c r="O42" s="318">
        <f>+K42</f>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f t="shared" ref="I45:I46" si="6">+E45</f>
        <v>0</v>
      </c>
      <c r="J45" s="318">
        <v>0</v>
      </c>
      <c r="K45" s="319">
        <v>0</v>
      </c>
      <c r="L45" s="319">
        <v>0</v>
      </c>
      <c r="M45" s="319">
        <v>0</v>
      </c>
      <c r="N45" s="319">
        <v>0</v>
      </c>
      <c r="O45" s="318">
        <f>+K45</f>
        <v>0</v>
      </c>
      <c r="P45" s="318">
        <f>+'[1]2015'!D51</f>
        <v>8879596.3623323217</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97">
        <f>+'[1]2015'!$D$56</f>
        <v>178339784.63766766</v>
      </c>
      <c r="AT45" s="321">
        <v>0</v>
      </c>
      <c r="AU45" s="321">
        <v>0</v>
      </c>
      <c r="AV45" s="368"/>
      <c r="AW45" s="374"/>
    </row>
    <row r="46" spans="2:49" x14ac:dyDescent="0.2">
      <c r="B46" s="343" t="s">
        <v>116</v>
      </c>
      <c r="C46" s="331" t="s">
        <v>31</v>
      </c>
      <c r="D46" s="318">
        <v>0</v>
      </c>
      <c r="E46" s="319">
        <v>0</v>
      </c>
      <c r="F46" s="319">
        <v>0</v>
      </c>
      <c r="G46" s="319">
        <v>0</v>
      </c>
      <c r="H46" s="319">
        <v>0</v>
      </c>
      <c r="I46" s="318">
        <f t="shared" si="6"/>
        <v>0</v>
      </c>
      <c r="J46" s="318">
        <v>0</v>
      </c>
      <c r="K46" s="319">
        <v>0</v>
      </c>
      <c r="L46" s="319">
        <v>0</v>
      </c>
      <c r="M46" s="319">
        <v>0</v>
      </c>
      <c r="N46" s="319">
        <v>0</v>
      </c>
      <c r="O46" s="318">
        <f>+K46</f>
        <v>0</v>
      </c>
      <c r="P46" s="318">
        <f>+'[1]2015'!$K$52</f>
        <v>10907735.40740557</v>
      </c>
      <c r="Q46" s="319">
        <f>+P46</f>
        <v>10907735.40740557</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f>+'[1]2015'!$K$57</f>
        <v>227657679.36482498</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f>+'[1]2015'!$I$53</f>
        <v>8905126.0350607</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f>+'[1]2015'!$I$58</f>
        <v>220445148.87470379</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f>+E49</f>
        <v>0</v>
      </c>
      <c r="J49" s="318">
        <v>0</v>
      </c>
      <c r="K49" s="319">
        <v>0</v>
      </c>
      <c r="L49" s="319">
        <v>0</v>
      </c>
      <c r="M49" s="319">
        <v>0</v>
      </c>
      <c r="N49" s="319">
        <v>0</v>
      </c>
      <c r="O49" s="318">
        <f>+K49</f>
        <v>0</v>
      </c>
      <c r="P49" s="397">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97">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f>+E51</f>
        <v>0</v>
      </c>
      <c r="J51" s="318">
        <v>0</v>
      </c>
      <c r="K51" s="319">
        <v>0</v>
      </c>
      <c r="L51" s="319">
        <v>0</v>
      </c>
      <c r="M51" s="319">
        <v>0</v>
      </c>
      <c r="N51" s="319">
        <v>0</v>
      </c>
      <c r="O51" s="318">
        <f>+K51</f>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f>+E52</f>
        <v>0</v>
      </c>
      <c r="J52" s="318">
        <v>0</v>
      </c>
      <c r="K52" s="319">
        <v>0</v>
      </c>
      <c r="L52" s="319">
        <v>0</v>
      </c>
      <c r="M52" s="319">
        <v>0</v>
      </c>
      <c r="N52" s="319">
        <v>0</v>
      </c>
      <c r="O52" s="318">
        <f>+K52</f>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f>+E53</f>
        <v>0</v>
      </c>
      <c r="J53" s="318">
        <v>0</v>
      </c>
      <c r="K53" s="319">
        <v>0</v>
      </c>
      <c r="L53" s="319">
        <v>0</v>
      </c>
      <c r="M53" s="319">
        <v>0</v>
      </c>
      <c r="N53" s="319">
        <v>0</v>
      </c>
      <c r="O53" s="318">
        <f>+K53</f>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87209072.131585389</v>
      </c>
      <c r="E54" s="323">
        <f>E24+E27+E31+E35-E36+E39+E42+E45+E46-E49+E51+E52+E53</f>
        <v>82911394.417539448</v>
      </c>
      <c r="F54" s="323">
        <f>F24+F27+F31+F35-F36+F39+F42+F45+F46-F49+F51+F52+F53</f>
        <v>0</v>
      </c>
      <c r="G54" s="323">
        <f>G24+G27+G31+G35-G36+G39+G42+G45+G46-G49+G51+G52+G53</f>
        <v>0</v>
      </c>
      <c r="H54" s="323">
        <f>H24+H27+H31+H35-H36+H39+H42+H45+H46-H49+H51+H52+H53</f>
        <v>0</v>
      </c>
      <c r="I54" s="322">
        <f>I24+I27+I31+I35-I36+I39+I42+I45+I46-I49+I51+I52+I53</f>
        <v>82911394.417539448</v>
      </c>
      <c r="J54" s="322">
        <f>J23+J26-J28+J30-J32+J34-J36+J38+J41-J43+J45+J46-J47-J49+J50+J51+J52+J53</f>
        <v>1520005.9637632286</v>
      </c>
      <c r="K54" s="323">
        <f>K24+K27+K31+K35-K36+K39+K42+K45+K46-K49+K51+K52+K53</f>
        <v>1522372.868760494</v>
      </c>
      <c r="L54" s="323">
        <f>L24+L27+L31+L35-L36+L39+L42+L45+L46-L49+L51+L52+L53</f>
        <v>0</v>
      </c>
      <c r="M54" s="323">
        <f>M24+M27+M31+M35-M36+M39+M42+M45+M46-M49+M51+M52+M53</f>
        <v>0</v>
      </c>
      <c r="N54" s="323">
        <f>N24+N27+N31+N35-N36+N39+N42+N45+N46-N49+N51+N52+N53</f>
        <v>0</v>
      </c>
      <c r="O54" s="322">
        <f>O24+O27+O31+O35-O36+O39+O42+O45+O46-O49+O51+O52+O53</f>
        <v>1522372.868760494</v>
      </c>
      <c r="P54" s="322">
        <f>P23+P26-P28+P30-P32+P34-P36+P38+P41-P43+P45+P46-P47-P49+P50+P51+P52+P53</f>
        <v>19759876.054573223</v>
      </c>
      <c r="Q54" s="323">
        <f>Q24+Q27+Q31+Q35-Q36+Q39+Q42+Q45+Q46-Q49+Q51+Q52+Q53</f>
        <v>18295019.929414287</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2183031599.9982491</v>
      </c>
      <c r="AT54" s="324">
        <f>AT23+AT26-AT28+AT30-AT32+AT34-AT36+AT38+AT41-AT43+AT45+AT46-AT47-AT49+AT50+AT51+AT52+AT53</f>
        <v>0</v>
      </c>
      <c r="AU54" s="324">
        <f>AU23+AU26-AU28+AU30-AU32+AU34-AU36+AU38+AU41-AU43+AU45+AU46-AU47-AU49+AU50+AU51+AU52+AU53</f>
        <v>99277137.282561138</v>
      </c>
      <c r="AV54" s="368"/>
      <c r="AW54" s="374"/>
    </row>
    <row r="55" spans="2:49" ht="25.5" x14ac:dyDescent="0.2">
      <c r="B55" s="348" t="s">
        <v>493</v>
      </c>
      <c r="C55" s="335" t="s">
        <v>28</v>
      </c>
      <c r="D55" s="322">
        <f t="shared" ref="D55:AC55" si="7">MIN(MAX(0,D56),MAX(0,D57))</f>
        <v>0</v>
      </c>
      <c r="E55" s="323">
        <f t="shared" si="7"/>
        <v>0</v>
      </c>
      <c r="F55" s="323">
        <f t="shared" si="7"/>
        <v>0</v>
      </c>
      <c r="G55" s="323">
        <f t="shared" si="7"/>
        <v>0</v>
      </c>
      <c r="H55" s="323">
        <f t="shared" si="7"/>
        <v>0</v>
      </c>
      <c r="I55" s="322">
        <f t="shared" si="7"/>
        <v>0</v>
      </c>
      <c r="J55" s="322">
        <f t="shared" si="7"/>
        <v>0</v>
      </c>
      <c r="K55" s="323">
        <f t="shared" si="7"/>
        <v>0</v>
      </c>
      <c r="L55" s="323">
        <f t="shared" si="7"/>
        <v>0</v>
      </c>
      <c r="M55" s="323">
        <f t="shared" si="7"/>
        <v>0</v>
      </c>
      <c r="N55" s="323">
        <f t="shared" si="7"/>
        <v>0</v>
      </c>
      <c r="O55" s="322">
        <f t="shared" si="7"/>
        <v>0</v>
      </c>
      <c r="P55" s="322">
        <f t="shared" si="7"/>
        <v>0</v>
      </c>
      <c r="Q55" s="323">
        <f t="shared" si="7"/>
        <v>0</v>
      </c>
      <c r="R55" s="323">
        <f t="shared" si="7"/>
        <v>0</v>
      </c>
      <c r="S55" s="323">
        <f t="shared" si="7"/>
        <v>0</v>
      </c>
      <c r="T55" s="323">
        <f t="shared" si="7"/>
        <v>0</v>
      </c>
      <c r="U55" s="322">
        <f t="shared" si="7"/>
        <v>0</v>
      </c>
      <c r="V55" s="323">
        <f t="shared" si="7"/>
        <v>0</v>
      </c>
      <c r="W55" s="323">
        <f t="shared" si="7"/>
        <v>0</v>
      </c>
      <c r="X55" s="322">
        <f t="shared" si="7"/>
        <v>0</v>
      </c>
      <c r="Y55" s="323">
        <f t="shared" si="7"/>
        <v>0</v>
      </c>
      <c r="Z55" s="323">
        <f t="shared" si="7"/>
        <v>0</v>
      </c>
      <c r="AA55" s="322">
        <f t="shared" si="7"/>
        <v>0</v>
      </c>
      <c r="AB55" s="323">
        <f t="shared" si="7"/>
        <v>0</v>
      </c>
      <c r="AC55" s="323">
        <f t="shared" si="7"/>
        <v>0</v>
      </c>
      <c r="AD55" s="322"/>
      <c r="AE55" s="362"/>
      <c r="AF55" s="362"/>
      <c r="AG55" s="362"/>
      <c r="AH55" s="362"/>
      <c r="AI55" s="322"/>
      <c r="AJ55" s="362"/>
      <c r="AK55" s="362"/>
      <c r="AL55" s="362"/>
      <c r="AM55" s="362"/>
      <c r="AN55" s="322"/>
      <c r="AO55" s="323"/>
      <c r="AP55" s="323"/>
      <c r="AQ55" s="323"/>
      <c r="AR55" s="323"/>
      <c r="AS55" s="322">
        <f t="shared" ref="AS55:AU55" si="8">MIN(MAX(0,AS56),MAX(0,AS57))</f>
        <v>0</v>
      </c>
      <c r="AT55" s="324">
        <f t="shared" si="8"/>
        <v>0</v>
      </c>
      <c r="AU55" s="324">
        <f t="shared" si="8"/>
        <v>0</v>
      </c>
      <c r="AV55" s="368"/>
      <c r="AW55" s="374"/>
    </row>
    <row r="56" spans="2:49" ht="11.85" customHeight="1" x14ac:dyDescent="0.2">
      <c r="B56" s="343" t="s">
        <v>120</v>
      </c>
      <c r="C56" s="335" t="s">
        <v>412</v>
      </c>
      <c r="D56" s="318">
        <v>0</v>
      </c>
      <c r="E56" s="319">
        <v>0</v>
      </c>
      <c r="F56" s="319">
        <v>0</v>
      </c>
      <c r="G56" s="319">
        <v>0</v>
      </c>
      <c r="H56" s="319">
        <v>0</v>
      </c>
      <c r="I56" s="318">
        <f>+E56</f>
        <v>0</v>
      </c>
      <c r="J56" s="318">
        <v>0</v>
      </c>
      <c r="K56" s="319">
        <v>0</v>
      </c>
      <c r="L56" s="319">
        <v>0</v>
      </c>
      <c r="M56" s="319">
        <v>0</v>
      </c>
      <c r="N56" s="319">
        <v>0</v>
      </c>
      <c r="O56" s="318">
        <f>+K56</f>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v>0</v>
      </c>
      <c r="H57" s="319">
        <v>0</v>
      </c>
      <c r="I57" s="318">
        <f>+E57</f>
        <v>0</v>
      </c>
      <c r="J57" s="318">
        <v>0</v>
      </c>
      <c r="K57" s="319">
        <v>0</v>
      </c>
      <c r="L57" s="319">
        <v>0</v>
      </c>
      <c r="M57" s="319">
        <v>0</v>
      </c>
      <c r="N57" s="319">
        <v>0</v>
      </c>
      <c r="O57" s="318">
        <f>+K57</f>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f>+'[2]For John'!$J$13</f>
        <v>6707000</v>
      </c>
      <c r="E58" s="354">
        <f>+[1]CSR!$C$7</f>
        <v>6693874.6600000001</v>
      </c>
      <c r="F58" s="354">
        <v>0</v>
      </c>
      <c r="G58" s="354">
        <v>0</v>
      </c>
      <c r="H58" s="354">
        <v>0</v>
      </c>
      <c r="I58" s="353">
        <f>+[1]CSR!$C$15</f>
        <v>7437311.6799999997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5" stopIfTrue="1" operator="lessThan">
      <formula>0</formula>
    </cfRule>
  </conditionalFormatting>
  <conditionalFormatting sqref="AA11:AA14">
    <cfRule type="cellIs" dxfId="499" priority="383" stopIfTrue="1" operator="lessThan">
      <formula>0</formula>
    </cfRule>
  </conditionalFormatting>
  <conditionalFormatting sqref="AN18:AN19">
    <cfRule type="cellIs" dxfId="498" priority="359" stopIfTrue="1" operator="lessThan">
      <formula>0</formula>
    </cfRule>
  </conditionalFormatting>
  <conditionalFormatting sqref="AU47">
    <cfRule type="cellIs" dxfId="497" priority="28" stopIfTrue="1" operator="lessThan">
      <formula>0</formula>
    </cfRule>
  </conditionalFormatting>
  <conditionalFormatting sqref="AS26">
    <cfRule type="cellIs" dxfId="496" priority="63" stopIfTrue="1" operator="lessThan">
      <formula>0</formula>
    </cfRule>
  </conditionalFormatting>
  <conditionalFormatting sqref="AT26">
    <cfRule type="cellIs" dxfId="495" priority="62" stopIfTrue="1" operator="lessThan">
      <formula>0</formula>
    </cfRule>
  </conditionalFormatting>
  <conditionalFormatting sqref="D5:D7">
    <cfRule type="cellIs" dxfId="494" priority="481" stopIfTrue="1" operator="lessThan">
      <formula>0</formula>
    </cfRule>
  </conditionalFormatting>
  <conditionalFormatting sqref="AU51">
    <cfRule type="cellIs" dxfId="493" priority="19" stopIfTrue="1" operator="lessThan">
      <formula>0</formula>
    </cfRule>
  </conditionalFormatting>
  <conditionalFormatting sqref="J5:J7">
    <cfRule type="cellIs" dxfId="492" priority="479" stopIfTrue="1" operator="lessThan">
      <formula>0</formula>
    </cfRule>
  </conditionalFormatting>
  <conditionalFormatting sqref="AT52">
    <cfRule type="cellIs" dxfId="491" priority="17" stopIfTrue="1" operator="lessThan">
      <formula>0</formula>
    </cfRule>
  </conditionalFormatting>
  <conditionalFormatting sqref="P5:P7">
    <cfRule type="cellIs" dxfId="490" priority="477" stopIfTrue="1" operator="lessThan">
      <formula>0</formula>
    </cfRule>
  </conditionalFormatting>
  <conditionalFormatting sqref="U5:U7">
    <cfRule type="cellIs" dxfId="489" priority="476" stopIfTrue="1" operator="lessThan">
      <formula>0</formula>
    </cfRule>
  </conditionalFormatting>
  <conditionalFormatting sqref="X5:X7">
    <cfRule type="cellIs" dxfId="488" priority="475" stopIfTrue="1" operator="lessThan">
      <formula>0</formula>
    </cfRule>
  </conditionalFormatting>
  <conditionalFormatting sqref="AA5:AA7">
    <cfRule type="cellIs" dxfId="487" priority="474" stopIfTrue="1" operator="lessThan">
      <formula>0</formula>
    </cfRule>
  </conditionalFormatting>
  <conditionalFormatting sqref="AD5:AD7">
    <cfRule type="cellIs" dxfId="486" priority="473" stopIfTrue="1" operator="lessThan">
      <formula>0</formula>
    </cfRule>
  </conditionalFormatting>
  <conditionalFormatting sqref="AI5:AI7">
    <cfRule type="cellIs" dxfId="485" priority="472" stopIfTrue="1" operator="lessThan">
      <formula>0</formula>
    </cfRule>
  </conditionalFormatting>
  <conditionalFormatting sqref="AN5:AN7">
    <cfRule type="cellIs" dxfId="484" priority="471" stopIfTrue="1" operator="lessThan">
      <formula>0</formula>
    </cfRule>
  </conditionalFormatting>
  <conditionalFormatting sqref="AS5:AS7">
    <cfRule type="cellIs" dxfId="483" priority="470" stopIfTrue="1" operator="lessThan">
      <formula>0</formula>
    </cfRule>
  </conditionalFormatting>
  <conditionalFormatting sqref="AT5:AT7">
    <cfRule type="cellIs" dxfId="482" priority="469" stopIfTrue="1" operator="lessThan">
      <formula>0</formula>
    </cfRule>
  </conditionalFormatting>
  <conditionalFormatting sqref="AU5:AU7">
    <cfRule type="cellIs" dxfId="481" priority="468" stopIfTrue="1" operator="lessThan">
      <formula>0</formula>
    </cfRule>
  </conditionalFormatting>
  <conditionalFormatting sqref="D9">
    <cfRule type="cellIs" dxfId="480" priority="467" stopIfTrue="1" operator="lessThan">
      <formula>0</formula>
    </cfRule>
  </conditionalFormatting>
  <conditionalFormatting sqref="D11:D20">
    <cfRule type="cellIs" dxfId="479" priority="466" stopIfTrue="1" operator="lessThan">
      <formula>0</formula>
    </cfRule>
  </conditionalFormatting>
  <conditionalFormatting sqref="E10:I10">
    <cfRule type="cellIs" dxfId="478" priority="465" stopIfTrue="1" operator="lessThan">
      <formula>0</formula>
    </cfRule>
  </conditionalFormatting>
  <conditionalFormatting sqref="E11:I11">
    <cfRule type="cellIs" dxfId="477" priority="464" stopIfTrue="1" operator="lessThan">
      <formula>0</formula>
    </cfRule>
  </conditionalFormatting>
  <conditionalFormatting sqref="E13:I16">
    <cfRule type="cellIs" dxfId="476" priority="463" stopIfTrue="1" operator="lessThan">
      <formula>0</formula>
    </cfRule>
  </conditionalFormatting>
  <conditionalFormatting sqref="E18:I20">
    <cfRule type="cellIs" dxfId="475" priority="462" stopIfTrue="1" operator="lessThan">
      <formula>0</formula>
    </cfRule>
  </conditionalFormatting>
  <conditionalFormatting sqref="H17">
    <cfRule type="cellIs" dxfId="474" priority="461" stopIfTrue="1" operator="lessThan">
      <formula>0</formula>
    </cfRule>
  </conditionalFormatting>
  <conditionalFormatting sqref="D23">
    <cfRule type="cellIs" dxfId="473" priority="460" stopIfTrue="1" operator="lessThan">
      <formula>0</formula>
    </cfRule>
  </conditionalFormatting>
  <conditionalFormatting sqref="D26">
    <cfRule type="cellIs" dxfId="472" priority="459" stopIfTrue="1" operator="lessThan">
      <formula>0</formula>
    </cfRule>
  </conditionalFormatting>
  <conditionalFormatting sqref="D28">
    <cfRule type="cellIs" dxfId="471" priority="458" stopIfTrue="1" operator="lessThan">
      <formula>0</formula>
    </cfRule>
  </conditionalFormatting>
  <conditionalFormatting sqref="D30">
    <cfRule type="cellIs" dxfId="470" priority="457" stopIfTrue="1" operator="lessThan">
      <formula>0</formula>
    </cfRule>
  </conditionalFormatting>
  <conditionalFormatting sqref="D32">
    <cfRule type="cellIs" dxfId="469" priority="456" stopIfTrue="1" operator="lessThan">
      <formula>0</formula>
    </cfRule>
  </conditionalFormatting>
  <conditionalFormatting sqref="AU57">
    <cfRule type="cellIs" dxfId="468" priority="7" stopIfTrue="1" operator="lessThan">
      <formula>0</formula>
    </cfRule>
  </conditionalFormatting>
  <conditionalFormatting sqref="D34">
    <cfRule type="cellIs" dxfId="467" priority="455" stopIfTrue="1" operator="lessThan">
      <formula>0</formula>
    </cfRule>
  </conditionalFormatting>
  <conditionalFormatting sqref="D38">
    <cfRule type="cellIs" dxfId="466" priority="454" stopIfTrue="1" operator="lessThan">
      <formula>0</formula>
    </cfRule>
  </conditionalFormatting>
  <conditionalFormatting sqref="D41">
    <cfRule type="cellIs" dxfId="465" priority="453" stopIfTrue="1" operator="lessThan">
      <formula>0</formula>
    </cfRule>
  </conditionalFormatting>
  <conditionalFormatting sqref="D43">
    <cfRule type="cellIs" dxfId="464" priority="452" stopIfTrue="1" operator="lessThan">
      <formula>0</formula>
    </cfRule>
  </conditionalFormatting>
  <conditionalFormatting sqref="D47">
    <cfRule type="cellIs" dxfId="463" priority="451" stopIfTrue="1" operator="lessThan">
      <formula>0</formula>
    </cfRule>
  </conditionalFormatting>
  <conditionalFormatting sqref="D50">
    <cfRule type="cellIs" dxfId="462" priority="450" stopIfTrue="1" operator="lessThan">
      <formula>0</formula>
    </cfRule>
  </conditionalFormatting>
  <conditionalFormatting sqref="E24:I24">
    <cfRule type="cellIs" dxfId="461" priority="448" stopIfTrue="1" operator="lessThan">
      <formula>0</formula>
    </cfRule>
  </conditionalFormatting>
  <conditionalFormatting sqref="E27:I27">
    <cfRule type="cellIs" dxfId="460" priority="447" stopIfTrue="1" operator="lessThan">
      <formula>0</formula>
    </cfRule>
  </conditionalFormatting>
  <conditionalFormatting sqref="E31:I31">
    <cfRule type="cellIs" dxfId="459" priority="446" stopIfTrue="1" operator="lessThan">
      <formula>0</formula>
    </cfRule>
  </conditionalFormatting>
  <conditionalFormatting sqref="E35:I35">
    <cfRule type="cellIs" dxfId="458" priority="445" stopIfTrue="1" operator="lessThan">
      <formula>0</formula>
    </cfRule>
  </conditionalFormatting>
  <conditionalFormatting sqref="E39:I39">
    <cfRule type="cellIs" dxfId="457" priority="444" stopIfTrue="1" operator="lessThan">
      <formula>0</formula>
    </cfRule>
  </conditionalFormatting>
  <conditionalFormatting sqref="E42:I42">
    <cfRule type="cellIs" dxfId="456" priority="443" stopIfTrue="1" operator="lessThan">
      <formula>0</formula>
    </cfRule>
  </conditionalFormatting>
  <conditionalFormatting sqref="D36">
    <cfRule type="cellIs" dxfId="455" priority="442" stopIfTrue="1" operator="lessThan">
      <formula>0</formula>
    </cfRule>
  </conditionalFormatting>
  <conditionalFormatting sqref="E36:I36">
    <cfRule type="cellIs" dxfId="454" priority="441" stopIfTrue="1" operator="lessThan">
      <formula>0</formula>
    </cfRule>
  </conditionalFormatting>
  <conditionalFormatting sqref="D45">
    <cfRule type="cellIs" dxfId="453" priority="440" stopIfTrue="1" operator="lessThan">
      <formula>0</formula>
    </cfRule>
  </conditionalFormatting>
  <conditionalFormatting sqref="E45:I45">
    <cfRule type="cellIs" dxfId="452" priority="439" stopIfTrue="1" operator="lessThan">
      <formula>0</formula>
    </cfRule>
  </conditionalFormatting>
  <conditionalFormatting sqref="D46">
    <cfRule type="cellIs" dxfId="451" priority="438" stopIfTrue="1" operator="lessThan">
      <formula>0</formula>
    </cfRule>
  </conditionalFormatting>
  <conditionalFormatting sqref="E46:I46">
    <cfRule type="cellIs" dxfId="450" priority="437" stopIfTrue="1" operator="lessThan">
      <formula>0</formula>
    </cfRule>
  </conditionalFormatting>
  <conditionalFormatting sqref="D49">
    <cfRule type="cellIs" dxfId="449" priority="436" stopIfTrue="1" operator="lessThan">
      <formula>0</formula>
    </cfRule>
  </conditionalFormatting>
  <conditionalFormatting sqref="E49:I49">
    <cfRule type="cellIs" dxfId="448" priority="435" stopIfTrue="1" operator="lessThan">
      <formula>0</formula>
    </cfRule>
  </conditionalFormatting>
  <conditionalFormatting sqref="D51">
    <cfRule type="cellIs" dxfId="447" priority="434" stopIfTrue="1" operator="lessThan">
      <formula>0</formula>
    </cfRule>
  </conditionalFormatting>
  <conditionalFormatting sqref="E51:I51">
    <cfRule type="cellIs" dxfId="446" priority="433" stopIfTrue="1" operator="lessThan">
      <formula>0</formula>
    </cfRule>
  </conditionalFormatting>
  <conditionalFormatting sqref="D52">
    <cfRule type="cellIs" dxfId="445" priority="432" stopIfTrue="1" operator="lessThan">
      <formula>0</formula>
    </cfRule>
  </conditionalFormatting>
  <conditionalFormatting sqref="E52:I52">
    <cfRule type="cellIs" dxfId="444" priority="431" stopIfTrue="1" operator="lessThan">
      <formula>0</formula>
    </cfRule>
  </conditionalFormatting>
  <conditionalFormatting sqref="D53">
    <cfRule type="cellIs" dxfId="443" priority="430" stopIfTrue="1" operator="lessThan">
      <formula>0</formula>
    </cfRule>
  </conditionalFormatting>
  <conditionalFormatting sqref="E53:I53">
    <cfRule type="cellIs" dxfId="442" priority="429" stopIfTrue="1" operator="lessThan">
      <formula>0</formula>
    </cfRule>
  </conditionalFormatting>
  <conditionalFormatting sqref="D56">
    <cfRule type="cellIs" dxfId="441" priority="428" stopIfTrue="1" operator="lessThan">
      <formula>0</formula>
    </cfRule>
  </conditionalFormatting>
  <conditionalFormatting sqref="E56:I56">
    <cfRule type="cellIs" dxfId="440" priority="427" stopIfTrue="1" operator="lessThan">
      <formula>0</formula>
    </cfRule>
  </conditionalFormatting>
  <conditionalFormatting sqref="D57">
    <cfRule type="cellIs" dxfId="439" priority="426" stopIfTrue="1" operator="lessThan">
      <formula>0</formula>
    </cfRule>
  </conditionalFormatting>
  <conditionalFormatting sqref="E57:I57">
    <cfRule type="cellIs" dxfId="438" priority="425" stopIfTrue="1" operator="lessThan">
      <formula>0</formula>
    </cfRule>
  </conditionalFormatting>
  <conditionalFormatting sqref="D58">
    <cfRule type="cellIs" dxfId="437" priority="424" stopIfTrue="1" operator="lessThan">
      <formula>0</formula>
    </cfRule>
  </conditionalFormatting>
  <conditionalFormatting sqref="E58:I58">
    <cfRule type="cellIs" dxfId="436" priority="423" stopIfTrue="1" operator="lessThan">
      <formula>0</formula>
    </cfRule>
  </conditionalFormatting>
  <conditionalFormatting sqref="J9">
    <cfRule type="cellIs" dxfId="435" priority="422" stopIfTrue="1" operator="lessThan">
      <formula>0</formula>
    </cfRule>
  </conditionalFormatting>
  <conditionalFormatting sqref="J11:J14">
    <cfRule type="cellIs" dxfId="434" priority="421" stopIfTrue="1" operator="lessThan">
      <formula>0</formula>
    </cfRule>
  </conditionalFormatting>
  <conditionalFormatting sqref="K10:O10">
    <cfRule type="cellIs" dxfId="433" priority="420" stopIfTrue="1" operator="lessThan">
      <formula>0</formula>
    </cfRule>
  </conditionalFormatting>
  <conditionalFormatting sqref="K11:O11">
    <cfRule type="cellIs" dxfId="432" priority="419" stopIfTrue="1" operator="lessThan">
      <formula>0</formula>
    </cfRule>
  </conditionalFormatting>
  <conditionalFormatting sqref="K13:O14">
    <cfRule type="cellIs" dxfId="431" priority="418" stopIfTrue="1" operator="lessThan">
      <formula>0</formula>
    </cfRule>
  </conditionalFormatting>
  <conditionalFormatting sqref="J16:J19">
    <cfRule type="cellIs" dxfId="430" priority="417" stopIfTrue="1" operator="lessThan">
      <formula>0</formula>
    </cfRule>
  </conditionalFormatting>
  <conditionalFormatting sqref="K16:O16">
    <cfRule type="cellIs" dxfId="429" priority="416" stopIfTrue="1" operator="lessThan">
      <formula>0</formula>
    </cfRule>
  </conditionalFormatting>
  <conditionalFormatting sqref="K18:O19">
    <cfRule type="cellIs" dxfId="428" priority="415" stopIfTrue="1" operator="lessThan">
      <formula>0</formula>
    </cfRule>
  </conditionalFormatting>
  <conditionalFormatting sqref="L17:N17">
    <cfRule type="cellIs" dxfId="427" priority="414" stopIfTrue="1" operator="lessThan">
      <formula>0</formula>
    </cfRule>
  </conditionalFormatting>
  <conditionalFormatting sqref="P9">
    <cfRule type="cellIs" dxfId="426" priority="413" stopIfTrue="1" operator="lessThan">
      <formula>0</formula>
    </cfRule>
  </conditionalFormatting>
  <conditionalFormatting sqref="P11:P14">
    <cfRule type="cellIs" dxfId="425" priority="412" stopIfTrue="1" operator="lessThan">
      <formula>0</formula>
    </cfRule>
  </conditionalFormatting>
  <conditionalFormatting sqref="Q10:T10">
    <cfRule type="cellIs" dxfId="424" priority="411" stopIfTrue="1" operator="lessThan">
      <formula>0</formula>
    </cfRule>
  </conditionalFormatting>
  <conditionalFormatting sqref="Q11:T11">
    <cfRule type="cellIs" dxfId="423" priority="410" stopIfTrue="1" operator="lessThan">
      <formula>0</formula>
    </cfRule>
  </conditionalFormatting>
  <conditionalFormatting sqref="Q13:T14">
    <cfRule type="cellIs" dxfId="422" priority="409" stopIfTrue="1" operator="lessThan">
      <formula>0</formula>
    </cfRule>
  </conditionalFormatting>
  <conditionalFormatting sqref="P18:P19">
    <cfRule type="cellIs" dxfId="421" priority="408" stopIfTrue="1" operator="lessThan">
      <formula>0</formula>
    </cfRule>
  </conditionalFormatting>
  <conditionalFormatting sqref="Q18:T19">
    <cfRule type="cellIs" dxfId="420" priority="407" stopIfTrue="1" operator="lessThan">
      <formula>0</formula>
    </cfRule>
  </conditionalFormatting>
  <conditionalFormatting sqref="U9">
    <cfRule type="cellIs" dxfId="419" priority="406" stopIfTrue="1" operator="lessThan">
      <formula>0</formula>
    </cfRule>
  </conditionalFormatting>
  <conditionalFormatting sqref="U11:U14">
    <cfRule type="cellIs" dxfId="418" priority="405" stopIfTrue="1" operator="lessThan">
      <formula>0</formula>
    </cfRule>
  </conditionalFormatting>
  <conditionalFormatting sqref="V10">
    <cfRule type="cellIs" dxfId="417" priority="404" stopIfTrue="1" operator="lessThan">
      <formula>0</formula>
    </cfRule>
  </conditionalFormatting>
  <conditionalFormatting sqref="V11">
    <cfRule type="cellIs" dxfId="416" priority="403" stopIfTrue="1" operator="lessThan">
      <formula>0</formula>
    </cfRule>
  </conditionalFormatting>
  <conditionalFormatting sqref="V13:V14">
    <cfRule type="cellIs" dxfId="415" priority="402" stopIfTrue="1" operator="lessThan">
      <formula>0</formula>
    </cfRule>
  </conditionalFormatting>
  <conditionalFormatting sqref="U18:U19">
    <cfRule type="cellIs" dxfId="414" priority="401" stopIfTrue="1" operator="lessThan">
      <formula>0</formula>
    </cfRule>
  </conditionalFormatting>
  <conditionalFormatting sqref="V18:V19">
    <cfRule type="cellIs" dxfId="413" priority="400" stopIfTrue="1" operator="lessThan">
      <formula>0</formula>
    </cfRule>
  </conditionalFormatting>
  <conditionalFormatting sqref="W10">
    <cfRule type="cellIs" dxfId="412" priority="399" stopIfTrue="1" operator="lessThan">
      <formula>0</formula>
    </cfRule>
  </conditionalFormatting>
  <conditionalFormatting sqref="W11">
    <cfRule type="cellIs" dxfId="411" priority="398" stopIfTrue="1" operator="lessThan">
      <formula>0</formula>
    </cfRule>
  </conditionalFormatting>
  <conditionalFormatting sqref="W13:W14">
    <cfRule type="cellIs" dxfId="410" priority="397" stopIfTrue="1" operator="lessThan">
      <formula>0</formula>
    </cfRule>
  </conditionalFormatting>
  <conditionalFormatting sqref="W18:W19">
    <cfRule type="cellIs" dxfId="409" priority="396" stopIfTrue="1" operator="lessThan">
      <formula>0</formula>
    </cfRule>
  </conditionalFormatting>
  <conditionalFormatting sqref="X9">
    <cfRule type="cellIs" dxfId="408" priority="395" stopIfTrue="1" operator="lessThan">
      <formula>0</formula>
    </cfRule>
  </conditionalFormatting>
  <conditionalFormatting sqref="X11:X14">
    <cfRule type="cellIs" dxfId="407" priority="394" stopIfTrue="1" operator="lessThan">
      <formula>0</formula>
    </cfRule>
  </conditionalFormatting>
  <conditionalFormatting sqref="Y10">
    <cfRule type="cellIs" dxfId="406" priority="393" stopIfTrue="1" operator="lessThan">
      <formula>0</formula>
    </cfRule>
  </conditionalFormatting>
  <conditionalFormatting sqref="Y11">
    <cfRule type="cellIs" dxfId="405" priority="392" stopIfTrue="1" operator="lessThan">
      <formula>0</formula>
    </cfRule>
  </conditionalFormatting>
  <conditionalFormatting sqref="Y13:Y14">
    <cfRule type="cellIs" dxfId="404" priority="391" stopIfTrue="1" operator="lessThan">
      <formula>0</formula>
    </cfRule>
  </conditionalFormatting>
  <conditionalFormatting sqref="X18:X19">
    <cfRule type="cellIs" dxfId="403" priority="390" stopIfTrue="1" operator="lessThan">
      <formula>0</formula>
    </cfRule>
  </conditionalFormatting>
  <conditionalFormatting sqref="Y18:Y19">
    <cfRule type="cellIs" dxfId="402" priority="389" stopIfTrue="1" operator="lessThan">
      <formula>0</formula>
    </cfRule>
  </conditionalFormatting>
  <conditionalFormatting sqref="Z10">
    <cfRule type="cellIs" dxfId="401" priority="388" stopIfTrue="1" operator="lessThan">
      <formula>0</formula>
    </cfRule>
  </conditionalFormatting>
  <conditionalFormatting sqref="Z11">
    <cfRule type="cellIs" dxfId="400" priority="387" stopIfTrue="1" operator="lessThan">
      <formula>0</formula>
    </cfRule>
  </conditionalFormatting>
  <conditionalFormatting sqref="Z13:Z14">
    <cfRule type="cellIs" dxfId="399" priority="386" stopIfTrue="1" operator="lessThan">
      <formula>0</formula>
    </cfRule>
  </conditionalFormatting>
  <conditionalFormatting sqref="AA9">
    <cfRule type="cellIs" dxfId="398" priority="384" stopIfTrue="1" operator="lessThan">
      <formula>0</formula>
    </cfRule>
  </conditionalFormatting>
  <conditionalFormatting sqref="AB10">
    <cfRule type="cellIs" dxfId="397" priority="382" stopIfTrue="1" operator="lessThan">
      <formula>0</formula>
    </cfRule>
  </conditionalFormatting>
  <conditionalFormatting sqref="AB11">
    <cfRule type="cellIs" dxfId="396" priority="381" stopIfTrue="1" operator="lessThan">
      <formula>0</formula>
    </cfRule>
  </conditionalFormatting>
  <conditionalFormatting sqref="AB13:AB14">
    <cfRule type="cellIs" dxfId="395" priority="380" stopIfTrue="1" operator="lessThan">
      <formula>0</formula>
    </cfRule>
  </conditionalFormatting>
  <conditionalFormatting sqref="AA18:AA19">
    <cfRule type="cellIs" dxfId="394" priority="379" stopIfTrue="1" operator="lessThan">
      <formula>0</formula>
    </cfRule>
  </conditionalFormatting>
  <conditionalFormatting sqref="AB18:AB19">
    <cfRule type="cellIs" dxfId="393" priority="378" stopIfTrue="1" operator="lessThan">
      <formula>0</formula>
    </cfRule>
  </conditionalFormatting>
  <conditionalFormatting sqref="AC10">
    <cfRule type="cellIs" dxfId="392" priority="377" stopIfTrue="1" operator="lessThan">
      <formula>0</formula>
    </cfRule>
  </conditionalFormatting>
  <conditionalFormatting sqref="AC11">
    <cfRule type="cellIs" dxfId="391" priority="376" stopIfTrue="1" operator="lessThan">
      <formula>0</formula>
    </cfRule>
  </conditionalFormatting>
  <conditionalFormatting sqref="AC13:AC14">
    <cfRule type="cellIs" dxfId="390" priority="375" stopIfTrue="1" operator="lessThan">
      <formula>0</formula>
    </cfRule>
  </conditionalFormatting>
  <conditionalFormatting sqref="AC18:AC19">
    <cfRule type="cellIs" dxfId="389" priority="374" stopIfTrue="1" operator="lessThan">
      <formula>0</formula>
    </cfRule>
  </conditionalFormatting>
  <conditionalFormatting sqref="AD9">
    <cfRule type="cellIs" dxfId="388" priority="373" stopIfTrue="1" operator="lessThan">
      <formula>0</formula>
    </cfRule>
  </conditionalFormatting>
  <conditionalFormatting sqref="AD11:AD14">
    <cfRule type="cellIs" dxfId="387" priority="372" stopIfTrue="1" operator="lessThan">
      <formula>0</formula>
    </cfRule>
  </conditionalFormatting>
  <conditionalFormatting sqref="AD18:AD19">
    <cfRule type="cellIs" dxfId="386" priority="371" stopIfTrue="1" operator="lessThan">
      <formula>0</formula>
    </cfRule>
  </conditionalFormatting>
  <conditionalFormatting sqref="AS57">
    <cfRule type="cellIs" dxfId="385" priority="9" stopIfTrue="1" operator="lessThan">
      <formula>0</formula>
    </cfRule>
  </conditionalFormatting>
  <conditionalFormatting sqref="AT57">
    <cfRule type="cellIs" dxfId="384" priority="8" stopIfTrue="1" operator="lessThan">
      <formula>0</formula>
    </cfRule>
  </conditionalFormatting>
  <conditionalFormatting sqref="AI9">
    <cfRule type="cellIs" dxfId="383" priority="367" stopIfTrue="1" operator="lessThan">
      <formula>0</formula>
    </cfRule>
  </conditionalFormatting>
  <conditionalFormatting sqref="AI11:AI14">
    <cfRule type="cellIs" dxfId="382" priority="366" stopIfTrue="1" operator="lessThan">
      <formula>0</formula>
    </cfRule>
  </conditionalFormatting>
  <conditionalFormatting sqref="AI18:AI19">
    <cfRule type="cellIs" dxfId="381" priority="365" stopIfTrue="1" operator="lessThan">
      <formula>0</formula>
    </cfRule>
  </conditionalFormatting>
  <conditionalFormatting sqref="AN9">
    <cfRule type="cellIs" dxfId="380" priority="364" stopIfTrue="1" operator="lessThan">
      <formula>0</formula>
    </cfRule>
  </conditionalFormatting>
  <conditionalFormatting sqref="AN11:AN14">
    <cfRule type="cellIs" dxfId="379" priority="363" stopIfTrue="1" operator="lessThan">
      <formula>0</formula>
    </cfRule>
  </conditionalFormatting>
  <conditionalFormatting sqref="AO10:AR10">
    <cfRule type="cellIs" dxfId="378" priority="362" stopIfTrue="1" operator="lessThan">
      <formula>0</formula>
    </cfRule>
  </conditionalFormatting>
  <conditionalFormatting sqref="AO11:AR11">
    <cfRule type="cellIs" dxfId="377" priority="361" stopIfTrue="1" operator="lessThan">
      <formula>0</formula>
    </cfRule>
  </conditionalFormatting>
  <conditionalFormatting sqref="AO13:AR14">
    <cfRule type="cellIs" dxfId="376" priority="360" stopIfTrue="1" operator="lessThan">
      <formula>0</formula>
    </cfRule>
  </conditionalFormatting>
  <conditionalFormatting sqref="AO18:AR19">
    <cfRule type="cellIs" dxfId="375" priority="358" stopIfTrue="1" operator="lessThan">
      <formula>0</formula>
    </cfRule>
  </conditionalFormatting>
  <conditionalFormatting sqref="AS9">
    <cfRule type="cellIs" dxfId="374" priority="357" stopIfTrue="1" operator="lessThan">
      <formula>0</formula>
    </cfRule>
  </conditionalFormatting>
  <conditionalFormatting sqref="AT9">
    <cfRule type="cellIs" dxfId="373" priority="356" stopIfTrue="1" operator="lessThan">
      <formula>0</formula>
    </cfRule>
  </conditionalFormatting>
  <conditionalFormatting sqref="AU9">
    <cfRule type="cellIs" dxfId="372" priority="355" stopIfTrue="1" operator="lessThan">
      <formula>0</formula>
    </cfRule>
  </conditionalFormatting>
  <conditionalFormatting sqref="AS11">
    <cfRule type="cellIs" dxfId="371" priority="354" stopIfTrue="1" operator="lessThan">
      <formula>0</formula>
    </cfRule>
  </conditionalFormatting>
  <conditionalFormatting sqref="AT11">
    <cfRule type="cellIs" dxfId="370" priority="353" stopIfTrue="1" operator="lessThan">
      <formula>0</formula>
    </cfRule>
  </conditionalFormatting>
  <conditionalFormatting sqref="AU11">
    <cfRule type="cellIs" dxfId="369" priority="352" stopIfTrue="1" operator="lessThan">
      <formula>0</formula>
    </cfRule>
  </conditionalFormatting>
  <conditionalFormatting sqref="AS12">
    <cfRule type="cellIs" dxfId="368" priority="351" stopIfTrue="1" operator="lessThan">
      <formula>0</formula>
    </cfRule>
  </conditionalFormatting>
  <conditionalFormatting sqref="AT12">
    <cfRule type="cellIs" dxfId="367" priority="350" stopIfTrue="1" operator="lessThan">
      <formula>0</formula>
    </cfRule>
  </conditionalFormatting>
  <conditionalFormatting sqref="AU12">
    <cfRule type="cellIs" dxfId="366" priority="349" stopIfTrue="1" operator="lessThan">
      <formula>0</formula>
    </cfRule>
  </conditionalFormatting>
  <conditionalFormatting sqref="AS13">
    <cfRule type="cellIs" dxfId="365" priority="348" stopIfTrue="1" operator="lessThan">
      <formula>0</formula>
    </cfRule>
  </conditionalFormatting>
  <conditionalFormatting sqref="AT13">
    <cfRule type="cellIs" dxfId="364" priority="347" stopIfTrue="1" operator="lessThan">
      <formula>0</formula>
    </cfRule>
  </conditionalFormatting>
  <conditionalFormatting sqref="AU13">
    <cfRule type="cellIs" dxfId="363" priority="346" stopIfTrue="1" operator="lessThan">
      <formula>0</formula>
    </cfRule>
  </conditionalFormatting>
  <conditionalFormatting sqref="AS14">
    <cfRule type="cellIs" dxfId="362" priority="345" stopIfTrue="1" operator="lessThan">
      <formula>0</formula>
    </cfRule>
  </conditionalFormatting>
  <conditionalFormatting sqref="AT14">
    <cfRule type="cellIs" dxfId="361" priority="344" stopIfTrue="1" operator="lessThan">
      <formula>0</formula>
    </cfRule>
  </conditionalFormatting>
  <conditionalFormatting sqref="AU14">
    <cfRule type="cellIs" dxfId="360" priority="343" stopIfTrue="1" operator="lessThan">
      <formula>0</formula>
    </cfRule>
  </conditionalFormatting>
  <conditionalFormatting sqref="AS18">
    <cfRule type="cellIs" dxfId="359" priority="342" stopIfTrue="1" operator="lessThan">
      <formula>0</formula>
    </cfRule>
  </conditionalFormatting>
  <conditionalFormatting sqref="AT18">
    <cfRule type="cellIs" dxfId="358" priority="341" stopIfTrue="1" operator="lessThan">
      <formula>0</formula>
    </cfRule>
  </conditionalFormatting>
  <conditionalFormatting sqref="AU18">
    <cfRule type="cellIs" dxfId="357" priority="340" stopIfTrue="1" operator="lessThan">
      <formula>0</formula>
    </cfRule>
  </conditionalFormatting>
  <conditionalFormatting sqref="AS19">
    <cfRule type="cellIs" dxfId="356" priority="339" stopIfTrue="1" operator="lessThan">
      <formula>0</formula>
    </cfRule>
  </conditionalFormatting>
  <conditionalFormatting sqref="AT19">
    <cfRule type="cellIs" dxfId="355" priority="338" stopIfTrue="1" operator="lessThan">
      <formula>0</formula>
    </cfRule>
  </conditionalFormatting>
  <conditionalFormatting sqref="AU19">
    <cfRule type="cellIs" dxfId="354" priority="337" stopIfTrue="1" operator="lessThan">
      <formula>0</formula>
    </cfRule>
  </conditionalFormatting>
  <conditionalFormatting sqref="J23">
    <cfRule type="cellIs" dxfId="353" priority="336" stopIfTrue="1" operator="lessThan">
      <formula>0</formula>
    </cfRule>
  </conditionalFormatting>
  <conditionalFormatting sqref="J26">
    <cfRule type="cellIs" dxfId="352" priority="335" stopIfTrue="1" operator="lessThan">
      <formula>0</formula>
    </cfRule>
  </conditionalFormatting>
  <conditionalFormatting sqref="J28">
    <cfRule type="cellIs" dxfId="351" priority="334" stopIfTrue="1" operator="lessThan">
      <formula>0</formula>
    </cfRule>
  </conditionalFormatting>
  <conditionalFormatting sqref="J30">
    <cfRule type="cellIs" dxfId="350" priority="333" stopIfTrue="1" operator="lessThan">
      <formula>0</formula>
    </cfRule>
  </conditionalFormatting>
  <conditionalFormatting sqref="J32">
    <cfRule type="cellIs" dxfId="349" priority="332" stopIfTrue="1" operator="lessThan">
      <formula>0</formula>
    </cfRule>
  </conditionalFormatting>
  <conditionalFormatting sqref="J34">
    <cfRule type="cellIs" dxfId="348" priority="331" stopIfTrue="1" operator="lessThan">
      <formula>0</formula>
    </cfRule>
  </conditionalFormatting>
  <conditionalFormatting sqref="J38">
    <cfRule type="cellIs" dxfId="347" priority="330" stopIfTrue="1" operator="lessThan">
      <formula>0</formula>
    </cfRule>
  </conditionalFormatting>
  <conditionalFormatting sqref="J41">
    <cfRule type="cellIs" dxfId="346" priority="329" stopIfTrue="1" operator="lessThan">
      <formula>0</formula>
    </cfRule>
  </conditionalFormatting>
  <conditionalFormatting sqref="J43">
    <cfRule type="cellIs" dxfId="345" priority="328" stopIfTrue="1" operator="lessThan">
      <formula>0</formula>
    </cfRule>
  </conditionalFormatting>
  <conditionalFormatting sqref="J47">
    <cfRule type="cellIs" dxfId="344" priority="327" stopIfTrue="1" operator="lessThan">
      <formula>0</formula>
    </cfRule>
  </conditionalFormatting>
  <conditionalFormatting sqref="J50">
    <cfRule type="cellIs" dxfId="343" priority="326" stopIfTrue="1" operator="lessThan">
      <formula>0</formula>
    </cfRule>
  </conditionalFormatting>
  <conditionalFormatting sqref="K24:O24">
    <cfRule type="cellIs" dxfId="342" priority="325" stopIfTrue="1" operator="lessThan">
      <formula>0</formula>
    </cfRule>
  </conditionalFormatting>
  <conditionalFormatting sqref="K27:O27">
    <cfRule type="cellIs" dxfId="341" priority="324" stopIfTrue="1" operator="lessThan">
      <formula>0</formula>
    </cfRule>
  </conditionalFormatting>
  <conditionalFormatting sqref="K31:O31">
    <cfRule type="cellIs" dxfId="340" priority="323" stopIfTrue="1" operator="lessThan">
      <formula>0</formula>
    </cfRule>
  </conditionalFormatting>
  <conditionalFormatting sqref="K35:O35">
    <cfRule type="cellIs" dxfId="339" priority="322" stopIfTrue="1" operator="lessThan">
      <formula>0</formula>
    </cfRule>
  </conditionalFormatting>
  <conditionalFormatting sqref="K39:O39">
    <cfRule type="cellIs" dxfId="338" priority="321" stopIfTrue="1" operator="lessThan">
      <formula>0</formula>
    </cfRule>
  </conditionalFormatting>
  <conditionalFormatting sqref="K42:O42">
    <cfRule type="cellIs" dxfId="337" priority="320" stopIfTrue="1" operator="lessThan">
      <formula>0</formula>
    </cfRule>
  </conditionalFormatting>
  <conditionalFormatting sqref="J36">
    <cfRule type="cellIs" dxfId="336" priority="319" stopIfTrue="1" operator="lessThan">
      <formula>0</formula>
    </cfRule>
  </conditionalFormatting>
  <conditionalFormatting sqref="K36:O36">
    <cfRule type="cellIs" dxfId="335" priority="318" stopIfTrue="1" operator="lessThan">
      <formula>0</formula>
    </cfRule>
  </conditionalFormatting>
  <conditionalFormatting sqref="J45">
    <cfRule type="cellIs" dxfId="334" priority="317" stopIfTrue="1" operator="lessThan">
      <formula>0</formula>
    </cfRule>
  </conditionalFormatting>
  <conditionalFormatting sqref="K45:O45">
    <cfRule type="cellIs" dxfId="333" priority="316" stopIfTrue="1" operator="lessThan">
      <formula>0</formula>
    </cfRule>
  </conditionalFormatting>
  <conditionalFormatting sqref="J46">
    <cfRule type="cellIs" dxfId="332" priority="315" stopIfTrue="1" operator="lessThan">
      <formula>0</formula>
    </cfRule>
  </conditionalFormatting>
  <conditionalFormatting sqref="K46:O46">
    <cfRule type="cellIs" dxfId="331" priority="314" stopIfTrue="1" operator="lessThan">
      <formula>0</formula>
    </cfRule>
  </conditionalFormatting>
  <conditionalFormatting sqref="J49">
    <cfRule type="cellIs" dxfId="330" priority="313" stopIfTrue="1" operator="lessThan">
      <formula>0</formula>
    </cfRule>
  </conditionalFormatting>
  <conditionalFormatting sqref="K49:O49">
    <cfRule type="cellIs" dxfId="329" priority="312" stopIfTrue="1" operator="lessThan">
      <formula>0</formula>
    </cfRule>
  </conditionalFormatting>
  <conditionalFormatting sqref="J51">
    <cfRule type="cellIs" dxfId="328" priority="311" stopIfTrue="1" operator="lessThan">
      <formula>0</formula>
    </cfRule>
  </conditionalFormatting>
  <conditionalFormatting sqref="K51:O51">
    <cfRule type="cellIs" dxfId="327" priority="310" stopIfTrue="1" operator="lessThan">
      <formula>0</formula>
    </cfRule>
  </conditionalFormatting>
  <conditionalFormatting sqref="J52">
    <cfRule type="cellIs" dxfId="326" priority="309" stopIfTrue="1" operator="lessThan">
      <formula>0</formula>
    </cfRule>
  </conditionalFormatting>
  <conditionalFormatting sqref="K52:O52">
    <cfRule type="cellIs" dxfId="325" priority="308" stopIfTrue="1" operator="lessThan">
      <formula>0</formula>
    </cfRule>
  </conditionalFormatting>
  <conditionalFormatting sqref="J53">
    <cfRule type="cellIs" dxfId="324" priority="307" stopIfTrue="1" operator="lessThan">
      <formula>0</formula>
    </cfRule>
  </conditionalFormatting>
  <conditionalFormatting sqref="K53:O53">
    <cfRule type="cellIs" dxfId="323" priority="306" stopIfTrue="1" operator="lessThan">
      <formula>0</formula>
    </cfRule>
  </conditionalFormatting>
  <conditionalFormatting sqref="P23">
    <cfRule type="cellIs" dxfId="322" priority="305" stopIfTrue="1" operator="lessThan">
      <formula>0</formula>
    </cfRule>
  </conditionalFormatting>
  <conditionalFormatting sqref="P26">
    <cfRule type="cellIs" dxfId="321" priority="304" stopIfTrue="1" operator="lessThan">
      <formula>0</formula>
    </cfRule>
  </conditionalFormatting>
  <conditionalFormatting sqref="P28">
    <cfRule type="cellIs" dxfId="320" priority="303" stopIfTrue="1" operator="lessThan">
      <formula>0</formula>
    </cfRule>
  </conditionalFormatting>
  <conditionalFormatting sqref="P30">
    <cfRule type="cellIs" dxfId="319" priority="302" stopIfTrue="1" operator="lessThan">
      <formula>0</formula>
    </cfRule>
  </conditionalFormatting>
  <conditionalFormatting sqref="P32">
    <cfRule type="cellIs" dxfId="318" priority="301" stopIfTrue="1" operator="lessThan">
      <formula>0</formula>
    </cfRule>
  </conditionalFormatting>
  <conditionalFormatting sqref="P34">
    <cfRule type="cellIs" dxfId="317" priority="300" stopIfTrue="1" operator="lessThan">
      <formula>0</formula>
    </cfRule>
  </conditionalFormatting>
  <conditionalFormatting sqref="P38">
    <cfRule type="cellIs" dxfId="316" priority="299" stopIfTrue="1" operator="lessThan">
      <formula>0</formula>
    </cfRule>
  </conditionalFormatting>
  <conditionalFormatting sqref="P41">
    <cfRule type="cellIs" dxfId="315" priority="298" stopIfTrue="1" operator="lessThan">
      <formula>0</formula>
    </cfRule>
  </conditionalFormatting>
  <conditionalFormatting sqref="P43">
    <cfRule type="cellIs" dxfId="314" priority="297" stopIfTrue="1" operator="lessThan">
      <formula>0</formula>
    </cfRule>
  </conditionalFormatting>
  <conditionalFormatting sqref="P47">
    <cfRule type="cellIs" dxfId="313" priority="296" stopIfTrue="1" operator="lessThan">
      <formula>0</formula>
    </cfRule>
  </conditionalFormatting>
  <conditionalFormatting sqref="P50">
    <cfRule type="cellIs" dxfId="312" priority="295" stopIfTrue="1" operator="lessThan">
      <formula>0</formula>
    </cfRule>
  </conditionalFormatting>
  <conditionalFormatting sqref="Q24:T24">
    <cfRule type="cellIs" dxfId="311" priority="294" stopIfTrue="1" operator="lessThan">
      <formula>0</formula>
    </cfRule>
  </conditionalFormatting>
  <conditionalFormatting sqref="Q27:T27">
    <cfRule type="cellIs" dxfId="310" priority="293" stopIfTrue="1" operator="lessThan">
      <formula>0</formula>
    </cfRule>
  </conditionalFormatting>
  <conditionalFormatting sqref="Q31:T31">
    <cfRule type="cellIs" dxfId="309" priority="292" stopIfTrue="1" operator="lessThan">
      <formula>0</formula>
    </cfRule>
  </conditionalFormatting>
  <conditionalFormatting sqref="Q35:T35">
    <cfRule type="cellIs" dxfId="308" priority="291" stopIfTrue="1" operator="lessThan">
      <formula>0</formula>
    </cfRule>
  </conditionalFormatting>
  <conditionalFormatting sqref="Q39:T39">
    <cfRule type="cellIs" dxfId="307" priority="290" stopIfTrue="1" operator="lessThan">
      <formula>0</formula>
    </cfRule>
  </conditionalFormatting>
  <conditionalFormatting sqref="Q42:T42">
    <cfRule type="cellIs" dxfId="306" priority="289" stopIfTrue="1" operator="lessThan">
      <formula>0</formula>
    </cfRule>
  </conditionalFormatting>
  <conditionalFormatting sqref="P36">
    <cfRule type="cellIs" dxfId="305" priority="288" stopIfTrue="1" operator="lessThan">
      <formula>0</formula>
    </cfRule>
  </conditionalFormatting>
  <conditionalFormatting sqref="Q36:T36">
    <cfRule type="cellIs" dxfId="304" priority="287" stopIfTrue="1" operator="lessThan">
      <formula>0</formula>
    </cfRule>
  </conditionalFormatting>
  <conditionalFormatting sqref="P45">
    <cfRule type="cellIs" dxfId="303" priority="286" stopIfTrue="1" operator="lessThan">
      <formula>0</formula>
    </cfRule>
  </conditionalFormatting>
  <conditionalFormatting sqref="Q45:T45">
    <cfRule type="cellIs" dxfId="302" priority="285" stopIfTrue="1" operator="lessThan">
      <formula>0</formula>
    </cfRule>
  </conditionalFormatting>
  <conditionalFormatting sqref="P46">
    <cfRule type="cellIs" dxfId="301" priority="284" stopIfTrue="1" operator="lessThan">
      <formula>0</formula>
    </cfRule>
  </conditionalFormatting>
  <conditionalFormatting sqref="Q46:T46">
    <cfRule type="cellIs" dxfId="300" priority="283" stopIfTrue="1" operator="lessThan">
      <formula>0</formula>
    </cfRule>
  </conditionalFormatting>
  <conditionalFormatting sqref="Q49:T49">
    <cfRule type="cellIs" dxfId="299" priority="281" stopIfTrue="1" operator="lessThan">
      <formula>0</formula>
    </cfRule>
  </conditionalFormatting>
  <conditionalFormatting sqref="P51">
    <cfRule type="cellIs" dxfId="298" priority="280" stopIfTrue="1" operator="lessThan">
      <formula>0</formula>
    </cfRule>
  </conditionalFormatting>
  <conditionalFormatting sqref="Q51:T51">
    <cfRule type="cellIs" dxfId="297" priority="279" stopIfTrue="1" operator="lessThan">
      <formula>0</formula>
    </cfRule>
  </conditionalFormatting>
  <conditionalFormatting sqref="P52">
    <cfRule type="cellIs" dxfId="296" priority="278" stopIfTrue="1" operator="lessThan">
      <formula>0</formula>
    </cfRule>
  </conditionalFormatting>
  <conditionalFormatting sqref="Q52:T52">
    <cfRule type="cellIs" dxfId="295" priority="277" stopIfTrue="1" operator="lessThan">
      <formula>0</formula>
    </cfRule>
  </conditionalFormatting>
  <conditionalFormatting sqref="P53">
    <cfRule type="cellIs" dxfId="294" priority="276" stopIfTrue="1" operator="lessThan">
      <formula>0</formula>
    </cfRule>
  </conditionalFormatting>
  <conditionalFormatting sqref="Q53:T53">
    <cfRule type="cellIs" dxfId="293" priority="275" stopIfTrue="1" operator="lessThan">
      <formula>0</formula>
    </cfRule>
  </conditionalFormatting>
  <conditionalFormatting sqref="U23">
    <cfRule type="cellIs" dxfId="292" priority="274" stopIfTrue="1" operator="lessThan">
      <formula>0</formula>
    </cfRule>
  </conditionalFormatting>
  <conditionalFormatting sqref="U26">
    <cfRule type="cellIs" dxfId="291" priority="273" stopIfTrue="1" operator="lessThan">
      <formula>0</formula>
    </cfRule>
  </conditionalFormatting>
  <conditionalFormatting sqref="U28">
    <cfRule type="cellIs" dxfId="290" priority="272" stopIfTrue="1" operator="lessThan">
      <formula>0</formula>
    </cfRule>
  </conditionalFormatting>
  <conditionalFormatting sqref="U30">
    <cfRule type="cellIs" dxfId="289" priority="271" stopIfTrue="1" operator="lessThan">
      <formula>0</formula>
    </cfRule>
  </conditionalFormatting>
  <conditionalFormatting sqref="U32">
    <cfRule type="cellIs" dxfId="288" priority="270" stopIfTrue="1" operator="lessThan">
      <formula>0</formula>
    </cfRule>
  </conditionalFormatting>
  <conditionalFormatting sqref="U34">
    <cfRule type="cellIs" dxfId="287" priority="269" stopIfTrue="1" operator="lessThan">
      <formula>0</formula>
    </cfRule>
  </conditionalFormatting>
  <conditionalFormatting sqref="U38">
    <cfRule type="cellIs" dxfId="286" priority="268" stopIfTrue="1" operator="lessThan">
      <formula>0</formula>
    </cfRule>
  </conditionalFormatting>
  <conditionalFormatting sqref="U41">
    <cfRule type="cellIs" dxfId="285" priority="267" stopIfTrue="1" operator="lessThan">
      <formula>0</formula>
    </cfRule>
  </conditionalFormatting>
  <conditionalFormatting sqref="U43">
    <cfRule type="cellIs" dxfId="284" priority="266" stopIfTrue="1" operator="lessThan">
      <formula>0</formula>
    </cfRule>
  </conditionalFormatting>
  <conditionalFormatting sqref="U47">
    <cfRule type="cellIs" dxfId="283" priority="265" stopIfTrue="1" operator="lessThan">
      <formula>0</formula>
    </cfRule>
  </conditionalFormatting>
  <conditionalFormatting sqref="U50">
    <cfRule type="cellIs" dxfId="282" priority="264" stopIfTrue="1" operator="lessThan">
      <formula>0</formula>
    </cfRule>
  </conditionalFormatting>
  <conditionalFormatting sqref="V24:W24">
    <cfRule type="cellIs" dxfId="281" priority="263" stopIfTrue="1" operator="lessThan">
      <formula>0</formula>
    </cfRule>
  </conditionalFormatting>
  <conditionalFormatting sqref="V27:W27">
    <cfRule type="cellIs" dxfId="280" priority="262" stopIfTrue="1" operator="lessThan">
      <formula>0</formula>
    </cfRule>
  </conditionalFormatting>
  <conditionalFormatting sqref="V31:W31">
    <cfRule type="cellIs" dxfId="279" priority="261" stopIfTrue="1" operator="lessThan">
      <formula>0</formula>
    </cfRule>
  </conditionalFormatting>
  <conditionalFormatting sqref="V35:W35">
    <cfRule type="cellIs" dxfId="278" priority="260" stopIfTrue="1" operator="lessThan">
      <formula>0</formula>
    </cfRule>
  </conditionalFormatting>
  <conditionalFormatting sqref="V39:W39">
    <cfRule type="cellIs" dxfId="277" priority="259" stopIfTrue="1" operator="lessThan">
      <formula>0</formula>
    </cfRule>
  </conditionalFormatting>
  <conditionalFormatting sqref="V42:W42">
    <cfRule type="cellIs" dxfId="276" priority="258" stopIfTrue="1" operator="lessThan">
      <formula>0</formula>
    </cfRule>
  </conditionalFormatting>
  <conditionalFormatting sqref="U36">
    <cfRule type="cellIs" dxfId="275" priority="257" stopIfTrue="1" operator="lessThan">
      <formula>0</formula>
    </cfRule>
  </conditionalFormatting>
  <conditionalFormatting sqref="V36:W36">
    <cfRule type="cellIs" dxfId="274" priority="256" stopIfTrue="1" operator="lessThan">
      <formula>0</formula>
    </cfRule>
  </conditionalFormatting>
  <conditionalFormatting sqref="U45">
    <cfRule type="cellIs" dxfId="273" priority="255" stopIfTrue="1" operator="lessThan">
      <formula>0</formula>
    </cfRule>
  </conditionalFormatting>
  <conditionalFormatting sqref="V45:W45">
    <cfRule type="cellIs" dxfId="272" priority="254" stopIfTrue="1" operator="lessThan">
      <formula>0</formula>
    </cfRule>
  </conditionalFormatting>
  <conditionalFormatting sqref="U46">
    <cfRule type="cellIs" dxfId="271" priority="253" stopIfTrue="1" operator="lessThan">
      <formula>0</formula>
    </cfRule>
  </conditionalFormatting>
  <conditionalFormatting sqref="V46:W46">
    <cfRule type="cellIs" dxfId="270" priority="252" stopIfTrue="1" operator="lessThan">
      <formula>0</formula>
    </cfRule>
  </conditionalFormatting>
  <conditionalFormatting sqref="U49">
    <cfRule type="cellIs" dxfId="269" priority="251" stopIfTrue="1" operator="lessThan">
      <formula>0</formula>
    </cfRule>
  </conditionalFormatting>
  <conditionalFormatting sqref="V49:W49">
    <cfRule type="cellIs" dxfId="268" priority="250" stopIfTrue="1" operator="lessThan">
      <formula>0</formula>
    </cfRule>
  </conditionalFormatting>
  <conditionalFormatting sqref="U51">
    <cfRule type="cellIs" dxfId="267" priority="249" stopIfTrue="1" operator="lessThan">
      <formula>0</formula>
    </cfRule>
  </conditionalFormatting>
  <conditionalFormatting sqref="V51:W51">
    <cfRule type="cellIs" dxfId="266" priority="248" stopIfTrue="1" operator="lessThan">
      <formula>0</formula>
    </cfRule>
  </conditionalFormatting>
  <conditionalFormatting sqref="U52">
    <cfRule type="cellIs" dxfId="265" priority="247" stopIfTrue="1" operator="lessThan">
      <formula>0</formula>
    </cfRule>
  </conditionalFormatting>
  <conditionalFormatting sqref="V52:W52">
    <cfRule type="cellIs" dxfId="264" priority="246" stopIfTrue="1" operator="lessThan">
      <formula>0</formula>
    </cfRule>
  </conditionalFormatting>
  <conditionalFormatting sqref="U53">
    <cfRule type="cellIs" dxfId="263" priority="245" stopIfTrue="1" operator="lessThan">
      <formula>0</formula>
    </cfRule>
  </conditionalFormatting>
  <conditionalFormatting sqref="V53:W53">
    <cfRule type="cellIs" dxfId="262" priority="244" stopIfTrue="1" operator="lessThan">
      <formula>0</formula>
    </cfRule>
  </conditionalFormatting>
  <conditionalFormatting sqref="X23">
    <cfRule type="cellIs" dxfId="261" priority="243" stopIfTrue="1" operator="lessThan">
      <formula>0</formula>
    </cfRule>
  </conditionalFormatting>
  <conditionalFormatting sqref="X26">
    <cfRule type="cellIs" dxfId="260" priority="242" stopIfTrue="1" operator="lessThan">
      <formula>0</formula>
    </cfRule>
  </conditionalFormatting>
  <conditionalFormatting sqref="X28">
    <cfRule type="cellIs" dxfId="259" priority="241" stopIfTrue="1" operator="lessThan">
      <formula>0</formula>
    </cfRule>
  </conditionalFormatting>
  <conditionalFormatting sqref="X30">
    <cfRule type="cellIs" dxfId="258" priority="240" stopIfTrue="1" operator="lessThan">
      <formula>0</formula>
    </cfRule>
  </conditionalFormatting>
  <conditionalFormatting sqref="X32">
    <cfRule type="cellIs" dxfId="257" priority="239" stopIfTrue="1" operator="lessThan">
      <formula>0</formula>
    </cfRule>
  </conditionalFormatting>
  <conditionalFormatting sqref="X34">
    <cfRule type="cellIs" dxfId="256" priority="238" stopIfTrue="1" operator="lessThan">
      <formula>0</formula>
    </cfRule>
  </conditionalFormatting>
  <conditionalFormatting sqref="X38">
    <cfRule type="cellIs" dxfId="255" priority="237" stopIfTrue="1" operator="lessThan">
      <formula>0</formula>
    </cfRule>
  </conditionalFormatting>
  <conditionalFormatting sqref="X41">
    <cfRule type="cellIs" dxfId="254" priority="236" stopIfTrue="1" operator="lessThan">
      <formula>0</formula>
    </cfRule>
  </conditionalFormatting>
  <conditionalFormatting sqref="X43">
    <cfRule type="cellIs" dxfId="253" priority="235" stopIfTrue="1" operator="lessThan">
      <formula>0</formula>
    </cfRule>
  </conditionalFormatting>
  <conditionalFormatting sqref="X47">
    <cfRule type="cellIs" dxfId="252" priority="234" stopIfTrue="1" operator="lessThan">
      <formula>0</formula>
    </cfRule>
  </conditionalFormatting>
  <conditionalFormatting sqref="X50">
    <cfRule type="cellIs" dxfId="251" priority="233" stopIfTrue="1" operator="lessThan">
      <formula>0</formula>
    </cfRule>
  </conditionalFormatting>
  <conditionalFormatting sqref="Y24:Z24">
    <cfRule type="cellIs" dxfId="250" priority="232" stopIfTrue="1" operator="lessThan">
      <formula>0</formula>
    </cfRule>
  </conditionalFormatting>
  <conditionalFormatting sqref="Y27:Z27">
    <cfRule type="cellIs" dxfId="249" priority="231" stopIfTrue="1" operator="lessThan">
      <formula>0</formula>
    </cfRule>
  </conditionalFormatting>
  <conditionalFormatting sqref="Y31:Z31">
    <cfRule type="cellIs" dxfId="248" priority="230" stopIfTrue="1" operator="lessThan">
      <formula>0</formula>
    </cfRule>
  </conditionalFormatting>
  <conditionalFormatting sqref="Y35:Z35">
    <cfRule type="cellIs" dxfId="247" priority="229" stopIfTrue="1" operator="lessThan">
      <formula>0</formula>
    </cfRule>
  </conditionalFormatting>
  <conditionalFormatting sqref="Y39:Z39">
    <cfRule type="cellIs" dxfId="246" priority="228" stopIfTrue="1" operator="lessThan">
      <formula>0</formula>
    </cfRule>
  </conditionalFormatting>
  <conditionalFormatting sqref="Y42:Z42">
    <cfRule type="cellIs" dxfId="245" priority="227" stopIfTrue="1" operator="lessThan">
      <formula>0</formula>
    </cfRule>
  </conditionalFormatting>
  <conditionalFormatting sqref="X36">
    <cfRule type="cellIs" dxfId="244" priority="226" stopIfTrue="1" operator="lessThan">
      <formula>0</formula>
    </cfRule>
  </conditionalFormatting>
  <conditionalFormatting sqref="Y36:Z36">
    <cfRule type="cellIs" dxfId="243" priority="225" stopIfTrue="1" operator="lessThan">
      <formula>0</formula>
    </cfRule>
  </conditionalFormatting>
  <conditionalFormatting sqref="X45">
    <cfRule type="cellIs" dxfId="242" priority="224" stopIfTrue="1" operator="lessThan">
      <formula>0</formula>
    </cfRule>
  </conditionalFormatting>
  <conditionalFormatting sqref="Y45:Z45">
    <cfRule type="cellIs" dxfId="241" priority="223" stopIfTrue="1" operator="lessThan">
      <formula>0</formula>
    </cfRule>
  </conditionalFormatting>
  <conditionalFormatting sqref="X46">
    <cfRule type="cellIs" dxfId="240" priority="222" stopIfTrue="1" operator="lessThan">
      <formula>0</formula>
    </cfRule>
  </conditionalFormatting>
  <conditionalFormatting sqref="Y46:Z46">
    <cfRule type="cellIs" dxfId="239" priority="221" stopIfTrue="1" operator="lessThan">
      <formula>0</formula>
    </cfRule>
  </conditionalFormatting>
  <conditionalFormatting sqref="X49">
    <cfRule type="cellIs" dxfId="238" priority="220" stopIfTrue="1" operator="lessThan">
      <formula>0</formula>
    </cfRule>
  </conditionalFormatting>
  <conditionalFormatting sqref="Y49:Z49">
    <cfRule type="cellIs" dxfId="237" priority="219" stopIfTrue="1" operator="lessThan">
      <formula>0</formula>
    </cfRule>
  </conditionalFormatting>
  <conditionalFormatting sqref="X51">
    <cfRule type="cellIs" dxfId="236" priority="218" stopIfTrue="1" operator="lessThan">
      <formula>0</formula>
    </cfRule>
  </conditionalFormatting>
  <conditionalFormatting sqref="Y51:Z51">
    <cfRule type="cellIs" dxfId="235" priority="217" stopIfTrue="1" operator="lessThan">
      <formula>0</formula>
    </cfRule>
  </conditionalFormatting>
  <conditionalFormatting sqref="X52">
    <cfRule type="cellIs" dxfId="234" priority="216" stopIfTrue="1" operator="lessThan">
      <formula>0</formula>
    </cfRule>
  </conditionalFormatting>
  <conditionalFormatting sqref="Y52:Z52">
    <cfRule type="cellIs" dxfId="233" priority="215" stopIfTrue="1" operator="lessThan">
      <formula>0</formula>
    </cfRule>
  </conditionalFormatting>
  <conditionalFormatting sqref="X53">
    <cfRule type="cellIs" dxfId="232" priority="214" stopIfTrue="1" operator="lessThan">
      <formula>0</formula>
    </cfRule>
  </conditionalFormatting>
  <conditionalFormatting sqref="Y53:Z53">
    <cfRule type="cellIs" dxfId="231" priority="213" stopIfTrue="1" operator="lessThan">
      <formula>0</formula>
    </cfRule>
  </conditionalFormatting>
  <conditionalFormatting sqref="AA23">
    <cfRule type="cellIs" dxfId="230" priority="212" stopIfTrue="1" operator="lessThan">
      <formula>0</formula>
    </cfRule>
  </conditionalFormatting>
  <conditionalFormatting sqref="AA26">
    <cfRule type="cellIs" dxfId="229" priority="211" stopIfTrue="1" operator="lessThan">
      <formula>0</formula>
    </cfRule>
  </conditionalFormatting>
  <conditionalFormatting sqref="AA28">
    <cfRule type="cellIs" dxfId="228" priority="210" stopIfTrue="1" operator="lessThan">
      <formula>0</formula>
    </cfRule>
  </conditionalFormatting>
  <conditionalFormatting sqref="AA30">
    <cfRule type="cellIs" dxfId="227" priority="209" stopIfTrue="1" operator="lessThan">
      <formula>0</formula>
    </cfRule>
  </conditionalFormatting>
  <conditionalFormatting sqref="AA32">
    <cfRule type="cellIs" dxfId="226" priority="208" stopIfTrue="1" operator="lessThan">
      <formula>0</formula>
    </cfRule>
  </conditionalFormatting>
  <conditionalFormatting sqref="AA34">
    <cfRule type="cellIs" dxfId="225" priority="207" stopIfTrue="1" operator="lessThan">
      <formula>0</formula>
    </cfRule>
  </conditionalFormatting>
  <conditionalFormatting sqref="AA38">
    <cfRule type="cellIs" dxfId="224" priority="206" stopIfTrue="1" operator="lessThan">
      <formula>0</formula>
    </cfRule>
  </conditionalFormatting>
  <conditionalFormatting sqref="AA41">
    <cfRule type="cellIs" dxfId="223" priority="205" stopIfTrue="1" operator="lessThan">
      <formula>0</formula>
    </cfRule>
  </conditionalFormatting>
  <conditionalFormatting sqref="AA43">
    <cfRule type="cellIs" dxfId="222" priority="204" stopIfTrue="1" operator="lessThan">
      <formula>0</formula>
    </cfRule>
  </conditionalFormatting>
  <conditionalFormatting sqref="AA47">
    <cfRule type="cellIs" dxfId="221" priority="203" stopIfTrue="1" operator="lessThan">
      <formula>0</formula>
    </cfRule>
  </conditionalFormatting>
  <conditionalFormatting sqref="AA50">
    <cfRule type="cellIs" dxfId="220" priority="202" stopIfTrue="1" operator="lessThan">
      <formula>0</formula>
    </cfRule>
  </conditionalFormatting>
  <conditionalFormatting sqref="AB24:AC24">
    <cfRule type="cellIs" dxfId="219" priority="201" stopIfTrue="1" operator="lessThan">
      <formula>0</formula>
    </cfRule>
  </conditionalFormatting>
  <conditionalFormatting sqref="AB27:AC27">
    <cfRule type="cellIs" dxfId="218" priority="200" stopIfTrue="1" operator="lessThan">
      <formula>0</formula>
    </cfRule>
  </conditionalFormatting>
  <conditionalFormatting sqref="AB31:AC31">
    <cfRule type="cellIs" dxfId="217" priority="199" stopIfTrue="1" operator="lessThan">
      <formula>0</formula>
    </cfRule>
  </conditionalFormatting>
  <conditionalFormatting sqref="AB35:AC35">
    <cfRule type="cellIs" dxfId="216" priority="198" stopIfTrue="1" operator="lessThan">
      <formula>0</formula>
    </cfRule>
  </conditionalFormatting>
  <conditionalFormatting sqref="AB39:AC39">
    <cfRule type="cellIs" dxfId="215" priority="197" stopIfTrue="1" operator="lessThan">
      <formula>0</formula>
    </cfRule>
  </conditionalFormatting>
  <conditionalFormatting sqref="AB42:AC42">
    <cfRule type="cellIs" dxfId="214" priority="196" stopIfTrue="1" operator="lessThan">
      <formula>0</formula>
    </cfRule>
  </conditionalFormatting>
  <conditionalFormatting sqref="AA36">
    <cfRule type="cellIs" dxfId="213" priority="195" stopIfTrue="1" operator="lessThan">
      <formula>0</formula>
    </cfRule>
  </conditionalFormatting>
  <conditionalFormatting sqref="AB36:AC36">
    <cfRule type="cellIs" dxfId="212" priority="194" stopIfTrue="1" operator="lessThan">
      <formula>0</formula>
    </cfRule>
  </conditionalFormatting>
  <conditionalFormatting sqref="AA45">
    <cfRule type="cellIs" dxfId="211" priority="193" stopIfTrue="1" operator="lessThan">
      <formula>0</formula>
    </cfRule>
  </conditionalFormatting>
  <conditionalFormatting sqref="AB45:AC45">
    <cfRule type="cellIs" dxfId="210" priority="192" stopIfTrue="1" operator="lessThan">
      <formula>0</formula>
    </cfRule>
  </conditionalFormatting>
  <conditionalFormatting sqref="AA46">
    <cfRule type="cellIs" dxfId="209" priority="191" stopIfTrue="1" operator="lessThan">
      <formula>0</formula>
    </cfRule>
  </conditionalFormatting>
  <conditionalFormatting sqref="AB46:AC46">
    <cfRule type="cellIs" dxfId="208" priority="190" stopIfTrue="1" operator="lessThan">
      <formula>0</formula>
    </cfRule>
  </conditionalFormatting>
  <conditionalFormatting sqref="AA49">
    <cfRule type="cellIs" dxfId="207" priority="189" stopIfTrue="1" operator="lessThan">
      <formula>0</formula>
    </cfRule>
  </conditionalFormatting>
  <conditionalFormatting sqref="AB49:AC49">
    <cfRule type="cellIs" dxfId="206" priority="188" stopIfTrue="1" operator="lessThan">
      <formula>0</formula>
    </cfRule>
  </conditionalFormatting>
  <conditionalFormatting sqref="AA51">
    <cfRule type="cellIs" dxfId="205" priority="187" stopIfTrue="1" operator="lessThan">
      <formula>0</formula>
    </cfRule>
  </conditionalFormatting>
  <conditionalFormatting sqref="AB51:AC51">
    <cfRule type="cellIs" dxfId="204" priority="186" stopIfTrue="1" operator="lessThan">
      <formula>0</formula>
    </cfRule>
  </conditionalFormatting>
  <conditionalFormatting sqref="AA52">
    <cfRule type="cellIs" dxfId="203" priority="185" stopIfTrue="1" operator="lessThan">
      <formula>0</formula>
    </cfRule>
  </conditionalFormatting>
  <conditionalFormatting sqref="AB52:AC52">
    <cfRule type="cellIs" dxfId="202" priority="184" stopIfTrue="1" operator="lessThan">
      <formula>0</formula>
    </cfRule>
  </conditionalFormatting>
  <conditionalFormatting sqref="AA53">
    <cfRule type="cellIs" dxfId="201" priority="183" stopIfTrue="1" operator="lessThan">
      <formula>0</formula>
    </cfRule>
  </conditionalFormatting>
  <conditionalFormatting sqref="AB53:AC53">
    <cfRule type="cellIs" dxfId="200" priority="182" stopIfTrue="1" operator="lessThan">
      <formula>0</formula>
    </cfRule>
  </conditionalFormatting>
  <conditionalFormatting sqref="AN23">
    <cfRule type="cellIs" dxfId="199" priority="181" stopIfTrue="1" operator="lessThan">
      <formula>0</formula>
    </cfRule>
  </conditionalFormatting>
  <conditionalFormatting sqref="AN26">
    <cfRule type="cellIs" dxfId="198" priority="180" stopIfTrue="1" operator="lessThan">
      <formula>0</formula>
    </cfRule>
  </conditionalFormatting>
  <conditionalFormatting sqref="AN28">
    <cfRule type="cellIs" dxfId="197" priority="179" stopIfTrue="1" operator="lessThan">
      <formula>0</formula>
    </cfRule>
  </conditionalFormatting>
  <conditionalFormatting sqref="AN30">
    <cfRule type="cellIs" dxfId="196" priority="178" stopIfTrue="1" operator="lessThan">
      <formula>0</formula>
    </cfRule>
  </conditionalFormatting>
  <conditionalFormatting sqref="AN32">
    <cfRule type="cellIs" dxfId="195" priority="177" stopIfTrue="1" operator="lessThan">
      <formula>0</formula>
    </cfRule>
  </conditionalFormatting>
  <conditionalFormatting sqref="AN34">
    <cfRule type="cellIs" dxfId="194" priority="176" stopIfTrue="1" operator="lessThan">
      <formula>0</formula>
    </cfRule>
  </conditionalFormatting>
  <conditionalFormatting sqref="AN38">
    <cfRule type="cellIs" dxfId="193" priority="175" stopIfTrue="1" operator="lessThan">
      <formula>0</formula>
    </cfRule>
  </conditionalFormatting>
  <conditionalFormatting sqref="AN41">
    <cfRule type="cellIs" dxfId="192" priority="174" stopIfTrue="1" operator="lessThan">
      <formula>0</formula>
    </cfRule>
  </conditionalFormatting>
  <conditionalFormatting sqref="AN43">
    <cfRule type="cellIs" dxfId="191" priority="173" stopIfTrue="1" operator="lessThan">
      <formula>0</formula>
    </cfRule>
  </conditionalFormatting>
  <conditionalFormatting sqref="AN47">
    <cfRule type="cellIs" dxfId="190" priority="172" stopIfTrue="1" operator="lessThan">
      <formula>0</formula>
    </cfRule>
  </conditionalFormatting>
  <conditionalFormatting sqref="AN50">
    <cfRule type="cellIs" dxfId="189" priority="171" stopIfTrue="1" operator="lessThan">
      <formula>0</formula>
    </cfRule>
  </conditionalFormatting>
  <conditionalFormatting sqref="AO24:AR24">
    <cfRule type="cellIs" dxfId="188" priority="170" stopIfTrue="1" operator="lessThan">
      <formula>0</formula>
    </cfRule>
  </conditionalFormatting>
  <conditionalFormatting sqref="AO27:AR27">
    <cfRule type="cellIs" dxfId="187" priority="169" stopIfTrue="1" operator="lessThan">
      <formula>0</formula>
    </cfRule>
  </conditionalFormatting>
  <conditionalFormatting sqref="AO31:AR31">
    <cfRule type="cellIs" dxfId="186" priority="168" stopIfTrue="1" operator="lessThan">
      <formula>0</formula>
    </cfRule>
  </conditionalFormatting>
  <conditionalFormatting sqref="AO35:AR35">
    <cfRule type="cellIs" dxfId="185" priority="167" stopIfTrue="1" operator="lessThan">
      <formula>0</formula>
    </cfRule>
  </conditionalFormatting>
  <conditionalFormatting sqref="AO39:AR39">
    <cfRule type="cellIs" dxfId="184" priority="166" stopIfTrue="1" operator="lessThan">
      <formula>0</formula>
    </cfRule>
  </conditionalFormatting>
  <conditionalFormatting sqref="AO42:AR42">
    <cfRule type="cellIs" dxfId="183" priority="165" stopIfTrue="1" operator="lessThan">
      <formula>0</formula>
    </cfRule>
  </conditionalFormatting>
  <conditionalFormatting sqref="AN36">
    <cfRule type="cellIs" dxfId="182" priority="164" stopIfTrue="1" operator="lessThan">
      <formula>0</formula>
    </cfRule>
  </conditionalFormatting>
  <conditionalFormatting sqref="AO36:AR36">
    <cfRule type="cellIs" dxfId="181" priority="163" stopIfTrue="1" operator="lessThan">
      <formula>0</formula>
    </cfRule>
  </conditionalFormatting>
  <conditionalFormatting sqref="AN45">
    <cfRule type="cellIs" dxfId="180" priority="162" stopIfTrue="1" operator="lessThan">
      <formula>0</formula>
    </cfRule>
  </conditionalFormatting>
  <conditionalFormatting sqref="AO45:AR45">
    <cfRule type="cellIs" dxfId="179" priority="161" stopIfTrue="1" operator="lessThan">
      <formula>0</formula>
    </cfRule>
  </conditionalFormatting>
  <conditionalFormatting sqref="AN46">
    <cfRule type="cellIs" dxfId="178" priority="160" stopIfTrue="1" operator="lessThan">
      <formula>0</formula>
    </cfRule>
  </conditionalFormatting>
  <conditionalFormatting sqref="AO46:AR46">
    <cfRule type="cellIs" dxfId="177" priority="159" stopIfTrue="1" operator="lessThan">
      <formula>0</formula>
    </cfRule>
  </conditionalFormatting>
  <conditionalFormatting sqref="AN49">
    <cfRule type="cellIs" dxfId="176" priority="158" stopIfTrue="1" operator="lessThan">
      <formula>0</formula>
    </cfRule>
  </conditionalFormatting>
  <conditionalFormatting sqref="AO49:AR49">
    <cfRule type="cellIs" dxfId="175" priority="157" stopIfTrue="1" operator="lessThan">
      <formula>0</formula>
    </cfRule>
  </conditionalFormatting>
  <conditionalFormatting sqref="AN51">
    <cfRule type="cellIs" dxfId="174" priority="156" stopIfTrue="1" operator="lessThan">
      <formula>0</formula>
    </cfRule>
  </conditionalFormatting>
  <conditionalFormatting sqref="AO51:AR51">
    <cfRule type="cellIs" dxfId="173" priority="155" stopIfTrue="1" operator="lessThan">
      <formula>0</formula>
    </cfRule>
  </conditionalFormatting>
  <conditionalFormatting sqref="AN52">
    <cfRule type="cellIs" dxfId="172" priority="154" stopIfTrue="1" operator="lessThan">
      <formula>0</formula>
    </cfRule>
  </conditionalFormatting>
  <conditionalFormatting sqref="AO52:AR52">
    <cfRule type="cellIs" dxfId="171" priority="153" stopIfTrue="1" operator="lessThan">
      <formula>0</formula>
    </cfRule>
  </conditionalFormatting>
  <conditionalFormatting sqref="AN53">
    <cfRule type="cellIs" dxfId="170" priority="152" stopIfTrue="1" operator="lessThan">
      <formula>0</formula>
    </cfRule>
  </conditionalFormatting>
  <conditionalFormatting sqref="AO53:AR53">
    <cfRule type="cellIs" dxfId="169" priority="151" stopIfTrue="1" operator="lessThan">
      <formula>0</formula>
    </cfRule>
  </conditionalFormatting>
  <conditionalFormatting sqref="AD23">
    <cfRule type="cellIs" dxfId="168" priority="150" stopIfTrue="1" operator="lessThan">
      <formula>0</formula>
    </cfRule>
  </conditionalFormatting>
  <conditionalFormatting sqref="AD26">
    <cfRule type="cellIs" dxfId="167" priority="149" stopIfTrue="1" operator="lessThan">
      <formula>0</formula>
    </cfRule>
  </conditionalFormatting>
  <conditionalFormatting sqref="AD28">
    <cfRule type="cellIs" dxfId="166" priority="148" stopIfTrue="1" operator="lessThan">
      <formula>0</formula>
    </cfRule>
  </conditionalFormatting>
  <conditionalFormatting sqref="AD30">
    <cfRule type="cellIs" dxfId="165" priority="147" stopIfTrue="1" operator="lessThan">
      <formula>0</formula>
    </cfRule>
  </conditionalFormatting>
  <conditionalFormatting sqref="AD32">
    <cfRule type="cellIs" dxfId="164" priority="146" stopIfTrue="1" operator="lessThan">
      <formula>0</formula>
    </cfRule>
  </conditionalFormatting>
  <conditionalFormatting sqref="AD34">
    <cfRule type="cellIs" dxfId="163" priority="145" stopIfTrue="1" operator="lessThan">
      <formula>0</formula>
    </cfRule>
  </conditionalFormatting>
  <conditionalFormatting sqref="AD38">
    <cfRule type="cellIs" dxfId="162" priority="144" stopIfTrue="1" operator="lessThan">
      <formula>0</formula>
    </cfRule>
  </conditionalFormatting>
  <conditionalFormatting sqref="AD41">
    <cfRule type="cellIs" dxfId="161" priority="143" stopIfTrue="1" operator="lessThan">
      <formula>0</formula>
    </cfRule>
  </conditionalFormatting>
  <conditionalFormatting sqref="AD47">
    <cfRule type="cellIs" dxfId="160" priority="141" stopIfTrue="1" operator="lessThan">
      <formula>0</formula>
    </cfRule>
  </conditionalFormatting>
  <conditionalFormatting sqref="AD50">
    <cfRule type="cellIs" dxfId="159" priority="140" stopIfTrue="1" operator="lessThan">
      <formula>0</formula>
    </cfRule>
  </conditionalFormatting>
  <conditionalFormatting sqref="AD36">
    <cfRule type="cellIs" dxfId="158" priority="139" stopIfTrue="1" operator="lessThan">
      <formula>0</formula>
    </cfRule>
  </conditionalFormatting>
  <conditionalFormatting sqref="AD45">
    <cfRule type="cellIs" dxfId="157" priority="138" stopIfTrue="1" operator="lessThan">
      <formula>0</formula>
    </cfRule>
  </conditionalFormatting>
  <conditionalFormatting sqref="AD46">
    <cfRule type="cellIs" dxfId="156" priority="137" stopIfTrue="1" operator="lessThan">
      <formula>0</formula>
    </cfRule>
  </conditionalFormatting>
  <conditionalFormatting sqref="AD49">
    <cfRule type="cellIs" dxfId="155" priority="136" stopIfTrue="1" operator="lessThan">
      <formula>0</formula>
    </cfRule>
  </conditionalFormatting>
  <conditionalFormatting sqref="AD51">
    <cfRule type="cellIs" dxfId="154" priority="135" stopIfTrue="1" operator="lessThan">
      <formula>0</formula>
    </cfRule>
  </conditionalFormatting>
  <conditionalFormatting sqref="AD52">
    <cfRule type="cellIs" dxfId="153" priority="134" stopIfTrue="1" operator="lessThan">
      <formula>0</formula>
    </cfRule>
  </conditionalFormatting>
  <conditionalFormatting sqref="AD53">
    <cfRule type="cellIs" dxfId="152" priority="133" stopIfTrue="1" operator="lessThan">
      <formula>0</formula>
    </cfRule>
  </conditionalFormatting>
  <conditionalFormatting sqref="AD56">
    <cfRule type="cellIs" dxfId="151" priority="132" stopIfTrue="1" operator="lessThan">
      <formula>0</formula>
    </cfRule>
  </conditionalFormatting>
  <conditionalFormatting sqref="AD57">
    <cfRule type="cellIs" dxfId="150" priority="131" stopIfTrue="1" operator="lessThan">
      <formula>0</formula>
    </cfRule>
  </conditionalFormatting>
  <conditionalFormatting sqref="AI23">
    <cfRule type="cellIs" dxfId="149" priority="130" stopIfTrue="1" operator="lessThan">
      <formula>0</formula>
    </cfRule>
  </conditionalFormatting>
  <conditionalFormatting sqref="AI26">
    <cfRule type="cellIs" dxfId="148" priority="129" stopIfTrue="1" operator="lessThan">
      <formula>0</formula>
    </cfRule>
  </conditionalFormatting>
  <conditionalFormatting sqref="AI28">
    <cfRule type="cellIs" dxfId="147" priority="128" stopIfTrue="1" operator="lessThan">
      <formula>0</formula>
    </cfRule>
  </conditionalFormatting>
  <conditionalFormatting sqref="AI30">
    <cfRule type="cellIs" dxfId="146" priority="127" stopIfTrue="1" operator="lessThan">
      <formula>0</formula>
    </cfRule>
  </conditionalFormatting>
  <conditionalFormatting sqref="AI32">
    <cfRule type="cellIs" dxfId="145" priority="126" stopIfTrue="1" operator="lessThan">
      <formula>0</formula>
    </cfRule>
  </conditionalFormatting>
  <conditionalFormatting sqref="AI34">
    <cfRule type="cellIs" dxfId="144" priority="125" stopIfTrue="1" operator="lessThan">
      <formula>0</formula>
    </cfRule>
  </conditionalFormatting>
  <conditionalFormatting sqref="AI38">
    <cfRule type="cellIs" dxfId="143" priority="124" stopIfTrue="1" operator="lessThan">
      <formula>0</formula>
    </cfRule>
  </conditionalFormatting>
  <conditionalFormatting sqref="AI41">
    <cfRule type="cellIs" dxfId="142" priority="123" stopIfTrue="1" operator="lessThan">
      <formula>0</formula>
    </cfRule>
  </conditionalFormatting>
  <conditionalFormatting sqref="AI43">
    <cfRule type="cellIs" dxfId="141" priority="122" stopIfTrue="1" operator="lessThan">
      <formula>0</formula>
    </cfRule>
  </conditionalFormatting>
  <conditionalFormatting sqref="AI47">
    <cfRule type="cellIs" dxfId="140" priority="121" stopIfTrue="1" operator="lessThan">
      <formula>0</formula>
    </cfRule>
  </conditionalFormatting>
  <conditionalFormatting sqref="AI50">
    <cfRule type="cellIs" dxfId="139" priority="120" stopIfTrue="1" operator="lessThan">
      <formula>0</formula>
    </cfRule>
  </conditionalFormatting>
  <conditionalFormatting sqref="AI36">
    <cfRule type="cellIs" dxfId="138" priority="119" stopIfTrue="1" operator="lessThan">
      <formula>0</formula>
    </cfRule>
  </conditionalFormatting>
  <conditionalFormatting sqref="AI45">
    <cfRule type="cellIs" dxfId="137" priority="118" stopIfTrue="1" operator="lessThan">
      <formula>0</formula>
    </cfRule>
  </conditionalFormatting>
  <conditionalFormatting sqref="AI46">
    <cfRule type="cellIs" dxfId="136" priority="117" stopIfTrue="1" operator="lessThan">
      <formula>0</formula>
    </cfRule>
  </conditionalFormatting>
  <conditionalFormatting sqref="AI49">
    <cfRule type="cellIs" dxfId="135" priority="116" stopIfTrue="1" operator="lessThan">
      <formula>0</formula>
    </cfRule>
  </conditionalFormatting>
  <conditionalFormatting sqref="AI51">
    <cfRule type="cellIs" dxfId="134" priority="115" stopIfTrue="1" operator="lessThan">
      <formula>0</formula>
    </cfRule>
  </conditionalFormatting>
  <conditionalFormatting sqref="AI52">
    <cfRule type="cellIs" dxfId="133" priority="114" stopIfTrue="1" operator="lessThan">
      <formula>0</formula>
    </cfRule>
  </conditionalFormatting>
  <conditionalFormatting sqref="AI53">
    <cfRule type="cellIs" dxfId="132" priority="113" stopIfTrue="1" operator="lessThan">
      <formula>0</formula>
    </cfRule>
  </conditionalFormatting>
  <conditionalFormatting sqref="AI56">
    <cfRule type="cellIs" dxfId="131" priority="112" stopIfTrue="1" operator="lessThan">
      <formula>0</formula>
    </cfRule>
  </conditionalFormatting>
  <conditionalFormatting sqref="AI57">
    <cfRule type="cellIs" dxfId="130" priority="111" stopIfTrue="1" operator="lessThan">
      <formula>0</formula>
    </cfRule>
  </conditionalFormatting>
  <conditionalFormatting sqref="AN56">
    <cfRule type="cellIs" dxfId="129" priority="110" stopIfTrue="1" operator="lessThan">
      <formula>0</formula>
    </cfRule>
  </conditionalFormatting>
  <conditionalFormatting sqref="AO56:AR56">
    <cfRule type="cellIs" dxfId="128" priority="109" stopIfTrue="1" operator="lessThan">
      <formula>0</formula>
    </cfRule>
  </conditionalFormatting>
  <conditionalFormatting sqref="AN57">
    <cfRule type="cellIs" dxfId="127" priority="108" stopIfTrue="1" operator="lessThan">
      <formula>0</formula>
    </cfRule>
  </conditionalFormatting>
  <conditionalFormatting sqref="AO57:AR57">
    <cfRule type="cellIs" dxfId="126" priority="107" stopIfTrue="1" operator="lessThan">
      <formula>0</formula>
    </cfRule>
  </conditionalFormatting>
  <conditionalFormatting sqref="J56">
    <cfRule type="cellIs" dxfId="125" priority="106" stopIfTrue="1" operator="lessThan">
      <formula>0</formula>
    </cfRule>
  </conditionalFormatting>
  <conditionalFormatting sqref="K56:O56">
    <cfRule type="cellIs" dxfId="124" priority="105" stopIfTrue="1" operator="lessThan">
      <formula>0</formula>
    </cfRule>
  </conditionalFormatting>
  <conditionalFormatting sqref="J57">
    <cfRule type="cellIs" dxfId="123" priority="104" stopIfTrue="1" operator="lessThan">
      <formula>0</formula>
    </cfRule>
  </conditionalFormatting>
  <conditionalFormatting sqref="K57:O57">
    <cfRule type="cellIs" dxfId="122" priority="103" stopIfTrue="1" operator="lessThan">
      <formula>0</formula>
    </cfRule>
  </conditionalFormatting>
  <conditionalFormatting sqref="P56">
    <cfRule type="cellIs" dxfId="121" priority="102" stopIfTrue="1" operator="lessThan">
      <formula>0</formula>
    </cfRule>
  </conditionalFormatting>
  <conditionalFormatting sqref="Q56:W56">
    <cfRule type="cellIs" dxfId="120" priority="101" stopIfTrue="1" operator="lessThan">
      <formula>0</formula>
    </cfRule>
  </conditionalFormatting>
  <conditionalFormatting sqref="P57">
    <cfRule type="cellIs" dxfId="119" priority="100" stopIfTrue="1" operator="lessThan">
      <formula>0</formula>
    </cfRule>
  </conditionalFormatting>
  <conditionalFormatting sqref="Q57:W57">
    <cfRule type="cellIs" dxfId="118" priority="99" stopIfTrue="1" operator="lessThan">
      <formula>0</formula>
    </cfRule>
  </conditionalFormatting>
  <conditionalFormatting sqref="X56:Z56">
    <cfRule type="cellIs" dxfId="117" priority="98" stopIfTrue="1" operator="lessThan">
      <formula>0</formula>
    </cfRule>
  </conditionalFormatting>
  <conditionalFormatting sqref="X57:Z57">
    <cfRule type="cellIs" dxfId="116" priority="97" stopIfTrue="1" operator="lessThan">
      <formula>0</formula>
    </cfRule>
  </conditionalFormatting>
  <conditionalFormatting sqref="AA56:AC56">
    <cfRule type="cellIs" dxfId="115" priority="96" stopIfTrue="1" operator="lessThan">
      <formula>0</formula>
    </cfRule>
  </conditionalFormatting>
  <conditionalFormatting sqref="AA57:AC57">
    <cfRule type="cellIs" dxfId="114" priority="95" stopIfTrue="1" operator="lessThan">
      <formula>0</formula>
    </cfRule>
  </conditionalFormatting>
  <conditionalFormatting sqref="AV56">
    <cfRule type="cellIs" dxfId="113" priority="93" stopIfTrue="1" operator="lessThan">
      <formula>0</formula>
    </cfRule>
  </conditionalFormatting>
  <conditionalFormatting sqref="AV57">
    <cfRule type="cellIs" dxfId="112" priority="91" stopIfTrue="1" operator="lessThan">
      <formula>0</formula>
    </cfRule>
  </conditionalFormatting>
  <conditionalFormatting sqref="AU23">
    <cfRule type="cellIs" dxfId="111" priority="64" stopIfTrue="1" operator="lessThan">
      <formula>0</formula>
    </cfRule>
  </conditionalFormatting>
  <conditionalFormatting sqref="AT32">
    <cfRule type="cellIs" dxfId="110" priority="53" stopIfTrue="1" operator="lessThan">
      <formula>0</formula>
    </cfRule>
  </conditionalFormatting>
  <conditionalFormatting sqref="AU32">
    <cfRule type="cellIs" dxfId="109" priority="52" stopIfTrue="1" operator="lessThan">
      <formula>0</formula>
    </cfRule>
  </conditionalFormatting>
  <conditionalFormatting sqref="AS36">
    <cfRule type="cellIs" dxfId="108" priority="48" stopIfTrue="1" operator="lessThan">
      <formula>0</formula>
    </cfRule>
  </conditionalFormatting>
  <conditionalFormatting sqref="AT36">
    <cfRule type="cellIs" dxfId="107" priority="47" stopIfTrue="1" operator="lessThan">
      <formula>0</formula>
    </cfRule>
  </conditionalFormatting>
  <conditionalFormatting sqref="AU38">
    <cfRule type="cellIs" dxfId="106" priority="43" stopIfTrue="1" operator="lessThan">
      <formula>0</formula>
    </cfRule>
  </conditionalFormatting>
  <conditionalFormatting sqref="AS41">
    <cfRule type="cellIs" dxfId="105" priority="42" stopIfTrue="1" operator="lessThan">
      <formula>0</formula>
    </cfRule>
  </conditionalFormatting>
  <conditionalFormatting sqref="AT43">
    <cfRule type="cellIs" dxfId="104" priority="38" stopIfTrue="1" operator="lessThan">
      <formula>0</formula>
    </cfRule>
  </conditionalFormatting>
  <conditionalFormatting sqref="AU43">
    <cfRule type="cellIs" dxfId="103" priority="37" stopIfTrue="1" operator="lessThan">
      <formula>0</formula>
    </cfRule>
  </conditionalFormatting>
  <conditionalFormatting sqref="AS46">
    <cfRule type="cellIs" dxfId="102" priority="33" stopIfTrue="1" operator="lessThan">
      <formula>0</formula>
    </cfRule>
  </conditionalFormatting>
  <conditionalFormatting sqref="AT46">
    <cfRule type="cellIs" dxfId="101" priority="32" stopIfTrue="1" operator="lessThan">
      <formula>0</formula>
    </cfRule>
  </conditionalFormatting>
  <conditionalFormatting sqref="AT50">
    <cfRule type="cellIs" dxfId="100" priority="23" stopIfTrue="1" operator="lessThan">
      <formula>0</formula>
    </cfRule>
  </conditionalFormatting>
  <conditionalFormatting sqref="AU50">
    <cfRule type="cellIs" dxfId="99" priority="22" stopIfTrue="1" operator="lessThan">
      <formula>0</formula>
    </cfRule>
  </conditionalFormatting>
  <conditionalFormatting sqref="AS52">
    <cfRule type="cellIs" dxfId="98" priority="18" stopIfTrue="1" operator="lessThan">
      <formula>0</formula>
    </cfRule>
  </conditionalFormatting>
  <conditionalFormatting sqref="AU53">
    <cfRule type="cellIs" dxfId="97" priority="13" stopIfTrue="1" operator="lessThan">
      <formula>0</formula>
    </cfRule>
  </conditionalFormatting>
  <conditionalFormatting sqref="AS56">
    <cfRule type="cellIs" dxfId="96" priority="12" stopIfTrue="1" operator="lessThan">
      <formula>0</formula>
    </cfRule>
  </conditionalFormatting>
  <conditionalFormatting sqref="AS23">
    <cfRule type="cellIs" dxfId="95" priority="66" stopIfTrue="1" operator="lessThan">
      <formula>0</formula>
    </cfRule>
  </conditionalFormatting>
  <conditionalFormatting sqref="AT23">
    <cfRule type="cellIs" dxfId="94" priority="65" stopIfTrue="1" operator="lessThan">
      <formula>0</formula>
    </cfRule>
  </conditionalFormatting>
  <conditionalFormatting sqref="AU26">
    <cfRule type="cellIs" dxfId="93" priority="61" stopIfTrue="1" operator="lessThan">
      <formula>0</formula>
    </cfRule>
  </conditionalFormatting>
  <conditionalFormatting sqref="AS28">
    <cfRule type="cellIs" dxfId="92" priority="60" stopIfTrue="1" operator="lessThan">
      <formula>0</formula>
    </cfRule>
  </conditionalFormatting>
  <conditionalFormatting sqref="AT28">
    <cfRule type="cellIs" dxfId="91" priority="59" stopIfTrue="1" operator="lessThan">
      <formula>0</formula>
    </cfRule>
  </conditionalFormatting>
  <conditionalFormatting sqref="AU28">
    <cfRule type="cellIs" dxfId="90" priority="58" stopIfTrue="1" operator="lessThan">
      <formula>0</formula>
    </cfRule>
  </conditionalFormatting>
  <conditionalFormatting sqref="AS30">
    <cfRule type="cellIs" dxfId="89" priority="57" stopIfTrue="1" operator="lessThan">
      <formula>0</formula>
    </cfRule>
  </conditionalFormatting>
  <conditionalFormatting sqref="AT30">
    <cfRule type="cellIs" dxfId="88" priority="56" stopIfTrue="1" operator="lessThan">
      <formula>0</formula>
    </cfRule>
  </conditionalFormatting>
  <conditionalFormatting sqref="AU30">
    <cfRule type="cellIs" dxfId="87" priority="55" stopIfTrue="1" operator="lessThan">
      <formula>0</formula>
    </cfRule>
  </conditionalFormatting>
  <conditionalFormatting sqref="AS32">
    <cfRule type="cellIs" dxfId="86" priority="54" stopIfTrue="1" operator="lessThan">
      <formula>0</formula>
    </cfRule>
  </conditionalFormatting>
  <conditionalFormatting sqref="AS34">
    <cfRule type="cellIs" dxfId="85" priority="51" stopIfTrue="1" operator="lessThan">
      <formula>0</formula>
    </cfRule>
  </conditionalFormatting>
  <conditionalFormatting sqref="AT34">
    <cfRule type="cellIs" dxfId="84" priority="50" stopIfTrue="1" operator="lessThan">
      <formula>0</formula>
    </cfRule>
  </conditionalFormatting>
  <conditionalFormatting sqref="AU34">
    <cfRule type="cellIs" dxfId="83" priority="49" stopIfTrue="1" operator="lessThan">
      <formula>0</formula>
    </cfRule>
  </conditionalFormatting>
  <conditionalFormatting sqref="AU36">
    <cfRule type="cellIs" dxfId="82" priority="46" stopIfTrue="1" operator="lessThan">
      <formula>0</formula>
    </cfRule>
  </conditionalFormatting>
  <conditionalFormatting sqref="AS38">
    <cfRule type="cellIs" dxfId="81" priority="45" stopIfTrue="1" operator="lessThan">
      <formula>0</formula>
    </cfRule>
  </conditionalFormatting>
  <conditionalFormatting sqref="AT38">
    <cfRule type="cellIs" dxfId="80" priority="44" stopIfTrue="1" operator="lessThan">
      <formula>0</formula>
    </cfRule>
  </conditionalFormatting>
  <conditionalFormatting sqref="AT41">
    <cfRule type="cellIs" dxfId="79" priority="41" stopIfTrue="1" operator="lessThan">
      <formula>0</formula>
    </cfRule>
  </conditionalFormatting>
  <conditionalFormatting sqref="AU41">
    <cfRule type="cellIs" dxfId="78" priority="40" stopIfTrue="1" operator="lessThan">
      <formula>0</formula>
    </cfRule>
  </conditionalFormatting>
  <conditionalFormatting sqref="AS43">
    <cfRule type="cellIs" dxfId="77" priority="39" stopIfTrue="1" operator="lessThan">
      <formula>0</formula>
    </cfRule>
  </conditionalFormatting>
  <conditionalFormatting sqref="AU46">
    <cfRule type="cellIs" dxfId="76" priority="31" stopIfTrue="1" operator="lessThan">
      <formula>0</formula>
    </cfRule>
  </conditionalFormatting>
  <conditionalFormatting sqref="AS47">
    <cfRule type="cellIs" dxfId="75" priority="30" stopIfTrue="1" operator="lessThan">
      <formula>0</formula>
    </cfRule>
  </conditionalFormatting>
  <conditionalFormatting sqref="AT47">
    <cfRule type="cellIs" dxfId="74" priority="29" stopIfTrue="1" operator="lessThan">
      <formula>0</formula>
    </cfRule>
  </conditionalFormatting>
  <conditionalFormatting sqref="AT49">
    <cfRule type="cellIs" dxfId="73" priority="26" stopIfTrue="1" operator="lessThan">
      <formula>0</formula>
    </cfRule>
  </conditionalFormatting>
  <conditionalFormatting sqref="AU49">
    <cfRule type="cellIs" dxfId="72" priority="25" stopIfTrue="1" operator="lessThan">
      <formula>0</formula>
    </cfRule>
  </conditionalFormatting>
  <conditionalFormatting sqref="AS50">
    <cfRule type="cellIs" dxfId="71" priority="24" stopIfTrue="1" operator="lessThan">
      <formula>0</formula>
    </cfRule>
  </conditionalFormatting>
  <conditionalFormatting sqref="AS51">
    <cfRule type="cellIs" dxfId="70" priority="21" stopIfTrue="1" operator="lessThan">
      <formula>0</formula>
    </cfRule>
  </conditionalFormatting>
  <conditionalFormatting sqref="AT51">
    <cfRule type="cellIs" dxfId="69" priority="20" stopIfTrue="1" operator="lessThan">
      <formula>0</formula>
    </cfRule>
  </conditionalFormatting>
  <conditionalFormatting sqref="AU52">
    <cfRule type="cellIs" dxfId="68" priority="16" stopIfTrue="1" operator="lessThan">
      <formula>0</formula>
    </cfRule>
  </conditionalFormatting>
  <conditionalFormatting sqref="AS53">
    <cfRule type="cellIs" dxfId="67" priority="15" stopIfTrue="1" operator="lessThan">
      <formula>0</formula>
    </cfRule>
  </conditionalFormatting>
  <conditionalFormatting sqref="AT53">
    <cfRule type="cellIs" dxfId="66" priority="14" stopIfTrue="1" operator="lessThan">
      <formula>0</formula>
    </cfRule>
  </conditionalFormatting>
  <conditionalFormatting sqref="AT56">
    <cfRule type="cellIs" dxfId="65" priority="11" stopIfTrue="1" operator="lessThan">
      <formula>0</formula>
    </cfRule>
  </conditionalFormatting>
  <conditionalFormatting sqref="AU56">
    <cfRule type="cellIs" dxfId="64" priority="10" stopIfTrue="1" operator="lessThan">
      <formula>0</formula>
    </cfRule>
  </conditionalFormatting>
  <conditionalFormatting sqref="AT45">
    <cfRule type="cellIs" dxfId="63" priority="5" stopIfTrue="1" operator="lessThan">
      <formula>0</formula>
    </cfRule>
  </conditionalFormatting>
  <conditionalFormatting sqref="AU45">
    <cfRule type="cellIs" dxfId="62" priority="4" stopIfTrue="1" operator="lessThan">
      <formula>0</formula>
    </cfRule>
  </conditionalFormatting>
  <conditionalFormatting sqref="AS45">
    <cfRule type="cellIs" dxfId="61" priority="3" stopIfTrue="1" operator="lessThan">
      <formula>0</formula>
    </cfRule>
  </conditionalFormatting>
  <conditionalFormatting sqref="AS49">
    <cfRule type="cellIs" dxfId="60" priority="2" stopIfTrue="1" operator="lessThan">
      <formula>0</formula>
    </cfRule>
  </conditionalFormatting>
  <conditionalFormatting sqref="P49">
    <cfRule type="cellIs" dxfId="59" priority="1" stopIfTrue="1" operator="lessThan">
      <formula>0</formula>
    </cfRule>
  </conditionalFormatting>
  <dataValidations xWindow="605" yWindow="785"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5" zoomScaleNormal="85"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f>+'[3]Pt 3 MLR and Rebate Calculation'!$G$6</f>
        <v>77121222.219578043</v>
      </c>
      <c r="E5" s="454"/>
      <c r="F5" s="454"/>
      <c r="G5" s="448"/>
      <c r="H5" s="402">
        <v>0</v>
      </c>
      <c r="I5" s="403">
        <f>+'[3]Pt 3 MLR and Rebate Calculation'!$L$6</f>
        <v>1006261.3304104218</v>
      </c>
      <c r="J5" s="454"/>
      <c r="K5" s="454"/>
      <c r="L5" s="448"/>
      <c r="M5" s="402">
        <v>0</v>
      </c>
      <c r="N5" s="403">
        <f>+'[3]Pt 3 MLR and Rebate Calculation'!$P$6</f>
        <v>16637877.371180288</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f>+D5+[1]data!$J$25+[1]data!$J$40</f>
        <v>77610855.963433564</v>
      </c>
      <c r="E6" s="400">
        <f>SUM('Pt 1 Summary of Data'!E$12,'Pt 1 Summary of Data'!E$22)+SUM('Pt 1 Summary of Data'!G$12,'Pt 1 Summary of Data'!G$22)-SUM('Pt 1 Summary of Data'!H$12,'Pt 1 Summary of Data'!H$22)</f>
        <v>82911394.417539448</v>
      </c>
      <c r="F6" s="400">
        <f t="shared" ref="F6:F11" si="0">SUM(C6:E6)</f>
        <v>160522250.38097301</v>
      </c>
      <c r="G6" s="401">
        <f>SUM('Pt 1 Summary of Data'!I$12,'Pt 1 Summary of Data'!I$22)</f>
        <v>82911394.417539448</v>
      </c>
      <c r="H6" s="397">
        <v>0</v>
      </c>
      <c r="I6" s="398">
        <f>+I5+[1]data!$K$25+[1]data!$K$40</f>
        <v>1007089.0204104219</v>
      </c>
      <c r="J6" s="400">
        <f>SUM('Pt 1 Summary of Data'!K$12,'Pt 1 Summary of Data'!K$22)+SUM('Pt 1 Summary of Data'!M$12,'Pt 1 Summary of Data'!M$22)-SUM('Pt 1 Summary of Data'!N$12,'Pt 1 Summary of Data'!N$22)</f>
        <v>1522372.868760494</v>
      </c>
      <c r="K6" s="400">
        <f>SUM(H6:J6)</f>
        <v>2529461.8891709158</v>
      </c>
      <c r="L6" s="401">
        <f>SUM('Pt 1 Summary of Data'!O$12,'Pt 1 Summary of Data'!O$22)</f>
        <v>1522372.868760494</v>
      </c>
      <c r="M6" s="397">
        <v>0</v>
      </c>
      <c r="N6" s="398">
        <f>+N5+[1]data!$L$25+[1]data!$L$40</f>
        <v>16650019.208326345</v>
      </c>
      <c r="O6" s="400">
        <f>SUM('Pt 1 Summary of Data'!Q$12,'Pt 1 Summary of Data'!Q$22)+SUM('Pt 1 Summary of Data'!S$12,'Pt 1 Summary of Data'!S$22)-SUM('Pt 1 Summary of Data'!T$12,'Pt 1 Summary of Data'!T$22)</f>
        <v>18295019.929414287</v>
      </c>
      <c r="P6" s="400">
        <f>SUM(M6:O6)</f>
        <v>34945039.137740634</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f>+'[3]Pt 3 MLR and Rebate Calculation'!$G$7</f>
        <v>1485612</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1485612</v>
      </c>
      <c r="G7" s="401">
        <f>SUM('Pt 1 Summary of Data'!I$37:I$41)+MAX(0,MIN(VALUE('Pt 1 Summary of Data'!I$42),0.3%*('Pt 1 Summary of Data'!I$5-SUM(G$9:G$10))))</f>
        <v>0</v>
      </c>
      <c r="H7" s="397">
        <v>0</v>
      </c>
      <c r="I7" s="398">
        <f>+'[3]Pt 3 MLR and Rebate Calculation'!$L$7</f>
        <v>25647</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25647</v>
      </c>
      <c r="L7" s="487">
        <f>SUM('Pt 1 Summary of Data'!O$37:O$41)+MAX(0,MIN(VALUE('Pt 1 Summary of Data'!O$42),0.3%*('Pt 1 Summary of Data'!O$5-L$10)))</f>
        <v>0</v>
      </c>
      <c r="M7" s="397">
        <v>0</v>
      </c>
      <c r="N7" s="398">
        <f>+'[3]Pt 3 MLR and Rebate Calculation'!$O$7</f>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f>+[1]CSR!$B$7</f>
        <v>8030430.0199999996</v>
      </c>
      <c r="E8" s="400">
        <f>'Pt 2 Premium and Claims'!E58+'Pt 2 Premium and Claims'!G58-'Pt 2 Premium and Claims'!H58</f>
        <v>6693874.6600000001</v>
      </c>
      <c r="F8" s="400">
        <f t="shared" si="0"/>
        <v>14724304.68</v>
      </c>
      <c r="G8" s="401">
        <f>'Pt 2 Premium and Claims'!I58</f>
        <v>7437311.6799999997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f>+'[3]Pt 3 MLR and Rebate Calculation'!$G$9</f>
        <v>4200475.38</v>
      </c>
      <c r="E9" s="400">
        <f>'Pt 2 Premium and Claims'!E$15+'Pt 2 Premium and Claims'!G$15-'Pt 2 Premium and Claims'!H$15</f>
        <v>5188576.67</v>
      </c>
      <c r="F9" s="400">
        <f t="shared" si="0"/>
        <v>9389052.0500000007</v>
      </c>
      <c r="G9" s="401">
        <f>'Pt 2 Premium and Claims'!I$15</f>
        <v>5188576.67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f>+'[3]Pt 3 MLR and Rebate Calculation'!$G$10</f>
        <v>-54020697.93</v>
      </c>
      <c r="E10" s="400">
        <f>'Pt 2 Premium and Claims'!E$16+'Pt 2 Premium and Claims'!G$16-'Pt 2 Premium and Claims'!H$16</f>
        <v>-30571356.27</v>
      </c>
      <c r="F10" s="485">
        <f t="shared" si="0"/>
        <v>-84592054.200000003</v>
      </c>
      <c r="G10" s="486">
        <f>'Pt 2 Premium and Claims'!I$16</f>
        <v>-30571356.27</v>
      </c>
      <c r="H10" s="443"/>
      <c r="I10" s="398">
        <f>+'[3]Pt 3 MLR and Rebate Calculation'!$L$10</f>
        <v>-1166880.06</v>
      </c>
      <c r="J10" s="400">
        <f>'Pt 2 Premium and Claims'!K$16+'Pt 2 Premium and Claims'!M$16-'Pt 2 Premium and Claims'!N$16</f>
        <v>-1666323.89</v>
      </c>
      <c r="K10" s="400">
        <f>SUM(H10:J10)</f>
        <v>-2833203.95</v>
      </c>
      <c r="L10" s="401">
        <f>'Pt 2 Premium and Claims'!O$16</f>
        <v>-1666323.89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f>+[1]Summary!$B$16</f>
        <v>948240.57</v>
      </c>
      <c r="E11" s="400">
        <f>'Pt 2 Premium and Claims'!E$17+'Pt 2 Premium and Claims'!G$17-'Pt 2 Premium and Claims'!H$17</f>
        <v>0</v>
      </c>
      <c r="F11" s="400">
        <f t="shared" si="0"/>
        <v>948240.57</v>
      </c>
      <c r="G11" s="450"/>
      <c r="H11" s="443"/>
      <c r="I11" s="398">
        <f>+[1]Summary!$B$17</f>
        <v>0</v>
      </c>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119938019.92343357</v>
      </c>
      <c r="E12" s="400">
        <f>SUM(E$6:E$7)-SUM(E$8:E$11)+IF(AND(OR('Company Information'!$C$12="District of Columbia",'Company Information'!$C$12="Massachusetts",'Company Information'!$C$12="Vermont"),SUM($C$6:$F$11,$C$15:$F$16,$C$38:$D$38)&lt;&gt;0),SUM(J$6:J$7)-SUM(J$10:J$11),0)</f>
        <v>101600299.35753945</v>
      </c>
      <c r="F12" s="400">
        <f>IFERROR(SUM(C$12:E$12)+C$17*MAX(0,E$50-C$50)+D$17*MAX(0,E$50-D$50),0)</f>
        <v>221538319.28097302</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2199616.0804104218</v>
      </c>
      <c r="J12" s="400">
        <f>SUM(J$6:J$7)-SUM(J$10:J$11)+IF(AND(OR('Company Information'!$C$12="District of Columbia",'Company Information'!$C$12="Massachusetts",'Company Information'!$C$12="Vermont"),SUM($H$6:$K$11,$H$15:$K$16,$H$38:$I$38)&lt;&gt;0),SUM(E$6:E$7)-SUM(E$8:E$11),0)</f>
        <v>3188696.7587604942</v>
      </c>
      <c r="K12" s="400">
        <f>IFERROR(SUM(H$12:J$12)+H$17*MAX(0,J$50-H$50)+I$17*MAX(0,J$50-I$50),0)</f>
        <v>5388312.839170916</v>
      </c>
      <c r="L12" s="447"/>
      <c r="M12" s="399">
        <f>SUM(M$6:M$7)</f>
        <v>0</v>
      </c>
      <c r="N12" s="400">
        <f>SUM(N$6:N$7)</f>
        <v>16650019.208326345</v>
      </c>
      <c r="O12" s="400">
        <f>SUM(O$6:O$7)</f>
        <v>18295019.929414287</v>
      </c>
      <c r="P12" s="400">
        <f>SUM(M$12:O$12)+M$17*MAX(0,O$50-M$50)+N$17*MAX(0,O$50-N$50)</f>
        <v>34945039.137740634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f>+'[3]Pt 3 MLR and Rebate Calculation'!$G$15</f>
        <v>142609653</v>
      </c>
      <c r="E15" s="395">
        <f>SUM('Pt 1 Summary of Data'!E$5:E$7)+SUM('Pt 1 Summary of Data'!G$5:G$7)-SUM('Pt 1 Summary of Data'!H$5:H$7)-SUM(E$9:E$11)</f>
        <v>115750540.17250001</v>
      </c>
      <c r="F15" s="395">
        <f>SUM(C15:E15)</f>
        <v>258360193.17250001</v>
      </c>
      <c r="G15" s="396">
        <f>SUM('Pt 1 Summary of Data'!I$5:I$7)-SUM(G$9:G$10)</f>
        <v>115750540.17250001</v>
      </c>
      <c r="H15" s="402">
        <v>0</v>
      </c>
      <c r="I15" s="403">
        <f>+'[3]Pt 3 MLR and Rebate Calculation'!$J$15</f>
        <v>2689694.3200000003</v>
      </c>
      <c r="J15" s="395">
        <f>SUM('Pt 1 Summary of Data'!K$5:K$7)+SUM('Pt 1 Summary of Data'!M$5:M$7)-SUM('Pt 1 Summary of Data'!N$5:N$7)-SUM(J$10:J$11)</f>
        <v>3357471.94</v>
      </c>
      <c r="K15" s="395">
        <f>SUM(H15:J15)</f>
        <v>6047166.2599999998</v>
      </c>
      <c r="L15" s="396">
        <f>SUM('Pt 1 Summary of Data'!O$5:O$7)-L$10</f>
        <v>3357471.94</v>
      </c>
      <c r="M15" s="402">
        <v>0</v>
      </c>
      <c r="N15" s="403">
        <f>+'[3]Pt 3 MLR and Rebate Calculation'!$O$15</f>
        <v>19503269</v>
      </c>
      <c r="O15" s="395">
        <f>SUM('Pt 1 Summary of Data'!Q$5:Q$7)+SUM('Pt 1 Summary of Data'!S$5:S$7)-SUM('Pt 1 Summary of Data'!T$5:T$7)+N$56</f>
        <v>21871177.359999999</v>
      </c>
      <c r="P15" s="395">
        <f>SUM(M15:O15)</f>
        <v>41374446.359999999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f>+'[3]Pt 3 MLR and Rebate Calculation'!$G$16</f>
        <v>14400188.232090507</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12218860.914423</v>
      </c>
      <c r="F16" s="400">
        <f>SUM(C16:E16)</f>
        <v>26619049.146513507</v>
      </c>
      <c r="G16" s="401">
        <f>SUM('Pt 1 Summary of Data'!I$25:I$28,'Pt 1 Summary of Data'!I$30,'Pt 1 Summary of Data'!I$34:I$35)+IF('Company Information'!$C$15="No",IF(MAX('Pt 1 Summary of Data'!I$31:I$32)=0,MIN('Pt 1 Summary of Data'!I$31:I$32),MAX('Pt 1 Summary of Data'!I$31:I$32)),SUM('Pt 1 Summary of Data'!I$31:I$32))</f>
        <v>12218860.914423</v>
      </c>
      <c r="H16" s="397">
        <v>0</v>
      </c>
      <c r="I16" s="398">
        <f>+'[3]Pt 3 MLR and Rebate Calculation'!$J$16</f>
        <v>190565.92430975899</v>
      </c>
      <c r="J16" s="48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260057.53310033333</v>
      </c>
      <c r="K16" s="400">
        <f>SUM(H16:J16)</f>
        <v>450623.45741009235</v>
      </c>
      <c r="L16" s="401">
        <f>SUM('Pt 1 Summary of Data'!O$25:O$28,'Pt 1 Summary of Data'!O$30,'Pt 1 Summary of Data'!O$34:O$35)+IF('Company Information'!$C$15="No",IF(MAX('Pt 1 Summary of Data'!O$31:O$32)=0,MIN('Pt 1 Summary of Data'!O$31:O$32),MAX('Pt 1 Summary of Data'!O$31:O$32)),SUM('Pt 1 Summary of Data'!O$31:O$32))</f>
        <v>260057.53310033333</v>
      </c>
      <c r="M16" s="397">
        <v>0</v>
      </c>
      <c r="N16" s="398">
        <f>+'[3]Pt 3 MLR and Rebate Calculation'!$O$16</f>
        <v>1335276.8691209964</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1106261.707045</v>
      </c>
      <c r="P16" s="400">
        <f>SUM(M16:O16)</f>
        <v>2441538.5761659965</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128209464.7679095</v>
      </c>
      <c r="E17" s="400">
        <f>E$15-E$16+IF(AND(OR('Company Information'!$C$12="District of Columbia",'Company Information'!$C$12="Massachusetts",'Company Information'!$C$12="Vermont"),SUM($C$6:$F$11,$C$15:$F$16,$C$38:$D$38)&lt;&gt;0),J$15-J$16,0)</f>
        <v>103531679.25807701</v>
      </c>
      <c r="F17" s="400">
        <f>F$15-F$16+IF(AND(OR('Company Information'!$C$12="District of Columbia",'Company Information'!$C$12="Massachusetts",'Company Information'!$C$12="Vermont"),SUM($C$6:$F$11,$C$15:$F$16,$C$38:$D$38)&lt;&gt;0),K$15-K$16,0)</f>
        <v>231741144.02598649</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2499128.3956902414</v>
      </c>
      <c r="J17" s="400">
        <f>J$15-J$16+IF(AND(OR('Company Information'!$C$12="District of Columbia",'Company Information'!$C$12="Massachusetts",'Company Information'!$C$12="Vermont"),SUM($H$6:$K$11,$H$15:$K$16,$H$38:$I$38)&lt;&gt;0),E$15-E$16,0)</f>
        <v>3097414.4068996664</v>
      </c>
      <c r="K17" s="400">
        <f>K$15-K$16+IF(AND(OR('Company Information'!$C$12="District of Columbia",'Company Information'!$C$12="Massachusetts",'Company Information'!$C$12="Vermont"),SUM($H$6:$K$11,$H$15:$K$16,$H$38:$I$38)&lt;&gt;0),F$15-F$16,0)</f>
        <v>5596542.8025899073</v>
      </c>
      <c r="L17" s="450"/>
      <c r="M17" s="399">
        <f>M$15-M$16</f>
        <v>0</v>
      </c>
      <c r="N17" s="400">
        <f>N$15-N$16</f>
        <v>18167992.130879004</v>
      </c>
      <c r="O17" s="400">
        <f>O$15-O$16</f>
        <v>20764915.652954999</v>
      </c>
      <c r="P17" s="400">
        <f>P$15-P$16</f>
        <v>38932907.783834003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101139300.93447693</v>
      </c>
      <c r="H19" s="455"/>
      <c r="I19" s="454"/>
      <c r="J19" s="454"/>
      <c r="K19" s="454"/>
      <c r="L19" s="396">
        <f>SUM(L$6:L$7)-L$10+IF(AND(OR('Company Information'!$C$12="District of Columbia",'Company Information'!$C$12="Massachusetts",'Company Information'!$C$12="Vermont"),SUM($L$6:$L$10,$L$15:$L$16)&lt;&gt;0),SUM(G$6:G$7)-SUM(G$8:G$10),0)+L$58</f>
        <v>3183944.6383500723</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13288870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309987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5176583.9629038507</v>
      </c>
      <c r="H21" s="443"/>
      <c r="I21" s="441"/>
      <c r="J21" s="441"/>
      <c r="K21" s="441"/>
      <c r="L21" s="401">
        <f>MAX(L$22,L$23)</f>
        <v>154870.72034498333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-10896491.676399913</v>
      </c>
      <c r="H22" s="443"/>
      <c r="I22" s="441"/>
      <c r="J22" s="441"/>
      <c r="K22" s="441"/>
      <c r="L22" s="401">
        <f>L$15-L$19-L$16-L$20+IF(AND(OR('Company Information'!$C$12="District of Columbia",'Company Information'!$C$12="Massachusetts",'Company Information'!$C$12="Vermont"),SUM($L$6:$L$10,$L$15:$L$16)&lt;&gt;0),G$15-G$16,0)</f>
        <v>-396517.23145040567</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86">
        <f>(3%+2%)*(G$15-G$16+IF(AND(OR('Company Information'!$C$12="District of Columbia",'Company Information'!$C$12="Massachusetts",'Company Information'!$C$12="Vermont"),SUM($G$6:$G$10,$G$15:$G$16)&lt;&gt;0),L$15-L$16,0))</f>
        <v>5176583.9629038507</v>
      </c>
      <c r="H23" s="443"/>
      <c r="I23" s="441"/>
      <c r="J23" s="441"/>
      <c r="K23" s="441"/>
      <c r="L23" s="401">
        <f>(3%+2%)*(L$15-L$16+IF(AND(OR('Company Information'!$C$12="District of Columbia",'Company Information'!$C$12="Massachusetts",'Company Information'!$C$12="Vermont"),SUM($L$6:$L$10,$L$15:$L$16)&lt;&gt;0),G$15-G$16,0))</f>
        <v>154870.72034498333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3105950.3777423101</v>
      </c>
      <c r="H24" s="443"/>
      <c r="I24" s="441"/>
      <c r="J24" s="441"/>
      <c r="K24" s="441"/>
      <c r="L24" s="401">
        <f>3%*(L$15-L$16+IF(AND(OR('Company Information'!$C$12="District of Columbia",'Company Information'!$C$12="Massachusetts",'Company Information'!$C$12="Vermont"),SUM($L$6:$L$10,$L$15:$L$16)&lt;&gt;0),G$15-G$16,0))</f>
        <v>92922.432206989994</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30684314.87732685</v>
      </c>
      <c r="H25" s="443"/>
      <c r="I25" s="441"/>
      <c r="J25" s="441"/>
      <c r="K25" s="441"/>
      <c r="L25" s="401">
        <f>MIN(L$26,L$27)</f>
        <v>724915.25344531669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30684314.87732685</v>
      </c>
      <c r="H26" s="443"/>
      <c r="I26" s="441"/>
      <c r="J26" s="441"/>
      <c r="K26" s="441"/>
      <c r="L26" s="401">
        <f>L$20+L$21+L$16+IF(AND(OR('Company Information'!$C$12="District of Columbia",'Company Information'!$C$12="Massachusetts",'Company Information'!$C$12="Vermont"),SUM($L$6:$L$10,$L$15:$L$16)&lt;&gt;0),G$16,0)</f>
        <v>724915.25344531669</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34995830.35119994</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941488.70261825994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85066225.295173168</v>
      </c>
      <c r="H28" s="443"/>
      <c r="I28" s="441"/>
      <c r="J28" s="441"/>
      <c r="K28" s="441"/>
      <c r="L28" s="401">
        <f>L$15+IF(AND(OR('Company Information'!$C$12="District of Columbia",'Company Information'!$C$12="Massachusetts",'Company Information'!$C$12="Vermont"),SUM($L$6:$L$10,$L$15:$L$16)&lt;&gt;0),G$15,0)-L$25</f>
        <v>2632556.6865546834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28613681.292165309</v>
      </c>
      <c r="H29" s="443"/>
      <c r="I29" s="441"/>
      <c r="J29" s="441"/>
      <c r="K29" s="441"/>
      <c r="L29" s="401">
        <f>MIN(L$31,L$32)</f>
        <v>662966.96530732326</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3105950.3777423101</v>
      </c>
      <c r="H30" s="443"/>
      <c r="I30" s="441"/>
      <c r="J30" s="441"/>
      <c r="K30" s="441"/>
      <c r="L30" s="471">
        <f>MAX(L$22,L$24)</f>
        <v>92922.432206989994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28613681.292165309</v>
      </c>
      <c r="H31" s="443"/>
      <c r="I31" s="441"/>
      <c r="J31" s="441"/>
      <c r="K31" s="441"/>
      <c r="L31" s="401">
        <f>L$20+L30+L$16+IF(AND(OR('Company Information'!$C$12="District of Columbia",'Company Information'!$C$12="Massachusetts",'Company Information'!$C$12="Vermont"),SUM($L$6:$L$10,$L$15:$L$16)&lt;&gt;0),G$16,0)</f>
        <v>662966.96530732326</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32925196.766038403</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879540.41448026663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87136858.880334705</v>
      </c>
      <c r="H33" s="443"/>
      <c r="I33" s="441"/>
      <c r="J33" s="441"/>
      <c r="K33" s="441"/>
      <c r="L33" s="401">
        <f>L$15+IF(AND(OR('Company Information'!$C$12="District of Columbia",'Company Information'!$C$12="Massachusetts",'Company Information'!$C$12="Vermont"),SUM($L$6:$L$10,$L$15:$L$16)&lt;&gt;0),G$15,0)-L$29</f>
        <v>2694504.9746926767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1.1606948223067326</v>
      </c>
      <c r="H34" s="462"/>
      <c r="I34" s="463"/>
      <c r="J34" s="463"/>
      <c r="K34" s="463"/>
      <c r="L34" s="469">
        <f>IF(L$33=0,0,L$19/L$33)</f>
        <v>1.1816436296293047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f>+'[4]3 - RC Payment or Charge Calc'!D12</f>
        <v>7803616.1469807234</v>
      </c>
      <c r="H35" s="443"/>
      <c r="I35" s="441"/>
      <c r="J35" s="441"/>
      <c r="K35" s="441"/>
      <c r="L35" s="477">
        <f>+'[4]3 - RC Payment or Charge Calc'!E12</f>
        <v>286466.03691290179</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f>+'[4]3 - RC Payment or Charge Calc'!D13</f>
        <v>7803616.1469807224</v>
      </c>
      <c r="H36" s="443"/>
      <c r="I36" s="441"/>
      <c r="J36" s="441"/>
      <c r="K36" s="441"/>
      <c r="L36" s="478">
        <f>+'[4]3 - RC Payment or Charge Calc'!E13</f>
        <v>286466.03691290179</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33293</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23874.75</v>
      </c>
      <c r="F38" s="432">
        <f>SUM(C$38:E$38)+IF(AND(OR('Company Information'!$C$12="District of Columbia",'Company Information'!$C$12="Massachusetts",'Company Information'!$C$12="Vermont"),SUM($C$6:$F$11,$C$15:$F$16,$C$38:$D$38)&lt;&gt;0,SUM(C$38:D$38)&lt;&gt;SUM(H$38:I$38)),SUM(H$38:I$38),0)</f>
        <v>57167.75</v>
      </c>
      <c r="G38" s="448"/>
      <c r="H38" s="404">
        <v>0</v>
      </c>
      <c r="I38" s="405">
        <v>574.75</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551.66666666666663</v>
      </c>
      <c r="K38" s="432">
        <f>SUM(H$38:J$38)+IF(AND(OR('Company Information'!$C$12="District of Columbia",'Company Information'!$C$12="Massachusetts",'Company Information'!$C$12="Vermont"),SUM($H$6:$K$11,$H$15:$K$16,$H$38:$I$38)&lt;&gt;0,SUM(H$38:I$38)&lt;&gt;SUM(C$38:D$38)),SUM(C$38:D$38),0)</f>
        <v>1126.4166666666665</v>
      </c>
      <c r="L38" s="448"/>
      <c r="M38" s="404">
        <v>0</v>
      </c>
      <c r="N38" s="405">
        <v>3421.9166666666665</v>
      </c>
      <c r="O38" s="432">
        <f>('Pt 1 Summary of Data'!Q$59+'Pt 1 Summary of Data'!S$59-'Pt 1 Summary of Data'!T$59)/12</f>
        <v>3648.9166666666665</v>
      </c>
      <c r="P38" s="432">
        <f>SUM(M$38:O$38)</f>
        <v>7070.833333333333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8.5594799999999995E-3</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8.0387388888888897E-2</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3.2444166666666663E-2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v>0</v>
      </c>
      <c r="U41" s="443"/>
      <c r="V41" s="441"/>
      <c r="W41" s="441"/>
      <c r="X41" s="434">
        <v>0</v>
      </c>
      <c r="Y41" s="443"/>
      <c r="Z41" s="441"/>
      <c r="AA41" s="441"/>
      <c r="AB41" s="434">
        <v>0</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8.5594799999999995E-3</v>
      </c>
      <c r="G42" s="447"/>
      <c r="H42" s="443"/>
      <c r="I42" s="441"/>
      <c r="J42" s="441"/>
      <c r="K42" s="436">
        <f ca="1">IF(OR(K$38&lt;1000,K$38&gt;=75000),0,K$39*K$41)</f>
        <v>8.0387388888888897E-2</v>
      </c>
      <c r="L42" s="447"/>
      <c r="M42" s="443"/>
      <c r="N42" s="441"/>
      <c r="O42" s="441"/>
      <c r="P42" s="436">
        <f ca="1">IF(OR(P$38&lt;1000,P$38&gt;=75000),0,P$39*P$41)</f>
        <v>3.2444166666666663E-2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f>IF(OR(D$38&lt;1000,D$17&lt;=0),"",D$12/D$17)</f>
        <v>0.93548491244816234</v>
      </c>
      <c r="E45" s="488">
        <f>IF(OR(E$38&lt;1000,E$17&lt;=0),"",E$12/E$17)</f>
        <v>0.9813450345403637</v>
      </c>
      <c r="F45" s="436">
        <f>IF(OR(F$38&lt;1000,F$17&lt;=0),"",F$12/F$17)</f>
        <v>0.95597318383882068</v>
      </c>
      <c r="G45" s="447"/>
      <c r="H45" s="438" t="str">
        <f>IF(OR(H$38&lt;1000,H$17&lt;=0),"",H$12/H$17)</f>
        <v/>
      </c>
      <c r="I45" s="436" t="str">
        <f>IF(OR(I$38&lt;1000,I$17&lt;=0),"",I$12/I$17)</f>
        <v/>
      </c>
      <c r="J45" s="436" t="str">
        <f>IF(OR(J$38&lt;1000,J$17&lt;=0),"",J$12/J$17)</f>
        <v/>
      </c>
      <c r="K45" s="436">
        <f>IF(OR(K$38&lt;1000,K$17&lt;=0),"",K$12/K$17)</f>
        <v>0.96279310803758544</v>
      </c>
      <c r="L45" s="447"/>
      <c r="M45" s="438" t="str">
        <f>IF(OR(M$38&lt;1000,M$17&lt;=0),"",M$12/M$17)</f>
        <v/>
      </c>
      <c r="N45" s="436">
        <f>IF(OR(N$38&lt;1000,N$17&lt;=0),"",N$12/N$17)</f>
        <v>0.91644795354283237</v>
      </c>
      <c r="O45" s="436">
        <f>IF(OR(O$38&lt;1000,O$17&lt;=0),"",O$12/O$17)</f>
        <v>0.88105438207309894</v>
      </c>
      <c r="P45" s="436">
        <f>IF(OR(P$38&lt;1000,P$17&lt;=0),"",P$12/P$17)</f>
        <v>0.89757074739356513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v>
      </c>
      <c r="R46" s="436">
        <v>0</v>
      </c>
      <c r="S46" s="436">
        <v>0</v>
      </c>
      <c r="T46" s="436">
        <v>0</v>
      </c>
      <c r="U46" s="438">
        <v>0</v>
      </c>
      <c r="V46" s="436">
        <v>0</v>
      </c>
      <c r="W46" s="436">
        <v>0</v>
      </c>
      <c r="X46" s="436">
        <v>0</v>
      </c>
      <c r="Y46" s="438">
        <v>0</v>
      </c>
      <c r="Z46" s="436">
        <v>0</v>
      </c>
      <c r="AA46" s="436">
        <v>0</v>
      </c>
      <c r="AB46" s="436">
        <v>0</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8.5594799999999995E-3</v>
      </c>
      <c r="G47" s="447"/>
      <c r="H47" s="443"/>
      <c r="I47" s="441"/>
      <c r="J47" s="441"/>
      <c r="K47" s="436">
        <f ca="1">IF(K$45="","",K$42)</f>
        <v>8.0387388888888897E-2</v>
      </c>
      <c r="L47" s="447"/>
      <c r="M47" s="443"/>
      <c r="N47" s="441"/>
      <c r="O47" s="441"/>
      <c r="P47" s="436">
        <f ca="1">IF(P$45="","",P$42)</f>
        <v>3.2444166666666663E-2</v>
      </c>
      <c r="Q47" s="444"/>
      <c r="R47" s="442"/>
      <c r="S47" s="442"/>
      <c r="T47" s="436">
        <v>0</v>
      </c>
      <c r="U47" s="444"/>
      <c r="V47" s="442"/>
      <c r="W47" s="442"/>
      <c r="X47" s="436">
        <v>0</v>
      </c>
      <c r="Y47" s="444"/>
      <c r="Z47" s="442"/>
      <c r="AA47" s="442"/>
      <c r="AB47" s="436">
        <v>0</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0.96499999999999997</v>
      </c>
      <c r="G48" s="447"/>
      <c r="H48" s="443"/>
      <c r="I48" s="441"/>
      <c r="J48" s="441"/>
      <c r="K48" s="436">
        <f ca="1">IF(K$45="","",ROUND(K$45+MAX(0,K$47),3))</f>
        <v>1.0429999999999999</v>
      </c>
      <c r="L48" s="447"/>
      <c r="M48" s="443"/>
      <c r="N48" s="441"/>
      <c r="O48" s="441"/>
      <c r="P48" s="436">
        <f ca="1">IF(P$45="","",ROUND(P$45+MAX(0,P$47),3))</f>
        <v>0.93</v>
      </c>
      <c r="Q48" s="443"/>
      <c r="R48" s="441"/>
      <c r="S48" s="441"/>
      <c r="T48" s="436">
        <v>0</v>
      </c>
      <c r="U48" s="443"/>
      <c r="V48" s="441"/>
      <c r="W48" s="441"/>
      <c r="X48" s="436">
        <v>0</v>
      </c>
      <c r="Y48" s="443"/>
      <c r="Z48" s="441"/>
      <c r="AA48" s="441"/>
      <c r="AB48" s="436">
        <v>0</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f>IF('[5]Company Information'!$C$12="","Please select a State",IF('[5]Company Information'!$C$12="Grand Total","",VLOOKUP('[5]Company Information'!$C$12,'[5]Reference Tables'!$D$3:$J$61,2,FALSE)))</f>
        <v>0.82</v>
      </c>
      <c r="R50" s="407">
        <f>IF('[5]Company Information'!$C$12="","Please select a State",IF('[5]Company Information'!$C$12="Grand Total","",VLOOKUP('[5]Company Information'!$C$12,'[5]Reference Tables'!$D$3:$J$61,4,FALSE)))</f>
        <v>0.82</v>
      </c>
      <c r="S50" s="407">
        <f>IF('[5]Company Information'!$C$12="","Please select a State",IF('[5]Company Information'!$C$12="Grand Total","",VLOOKUP('[5]Company Information'!$C$12,'[5]Reference Tables'!$D$3:$J$61,6,FALSE)))</f>
        <v>0.82</v>
      </c>
      <c r="T50" s="407">
        <f>S$50</f>
        <v>0.82</v>
      </c>
      <c r="U50" s="406">
        <f>IF('[5]Company Information'!$C$12="","Please select a State",IF('[5]Company Information'!$C$12="Grand Total","",VLOOKUP('[5]Company Information'!$C$12,'[5]Reference Tables'!$D$3:$J$61,3,FALSE)))</f>
        <v>0.82</v>
      </c>
      <c r="V50" s="407">
        <f>IF('[5]Company Information'!$C$12="","Please select a State",IF('[5]Company Information'!$C$12="Grand Total","",VLOOKUP('[5]Company Information'!$C$12,'[5]Reference Tables'!$D$3:$J$61,5,FALSE)))</f>
        <v>0.82</v>
      </c>
      <c r="W50" s="407">
        <f>IF('[5]Company Information'!$C$12="","Please select a State",IF('[5]Company Information'!$C$12="Grand Total","",VLOOKUP('[5]Company Information'!$C$12,'[5]Reference Tables'!$D$3:$J$61,7,FALSE)))</f>
        <v>0.82</v>
      </c>
      <c r="X50" s="407">
        <f>W$50</f>
        <v>0.82</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f ca="1">F$48</f>
        <v>0.96499999999999997</v>
      </c>
      <c r="G51" s="447"/>
      <c r="H51" s="444"/>
      <c r="I51" s="442"/>
      <c r="J51" s="442"/>
      <c r="K51" s="436">
        <f ca="1">K$48</f>
        <v>1.0429999999999999</v>
      </c>
      <c r="L51" s="447"/>
      <c r="M51" s="444"/>
      <c r="N51" s="442"/>
      <c r="O51" s="442"/>
      <c r="P51" s="436">
        <f ca="1">P$48</f>
        <v>0.93</v>
      </c>
      <c r="Q51" s="444"/>
      <c r="R51" s="442"/>
      <c r="S51" s="442"/>
      <c r="T51" s="436">
        <v>0</v>
      </c>
      <c r="U51" s="444"/>
      <c r="V51" s="442"/>
      <c r="W51" s="442"/>
      <c r="X51" s="436">
        <v>0</v>
      </c>
      <c r="Y51" s="444"/>
      <c r="Z51" s="442"/>
      <c r="AA51" s="442"/>
      <c r="AB51" s="436">
        <v>0</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103531679.25807701</v>
      </c>
      <c r="G52" s="447"/>
      <c r="H52" s="443"/>
      <c r="I52" s="441"/>
      <c r="J52" s="441"/>
      <c r="K52" s="400">
        <f>IF(K$38&lt;1000,"",MAX(0,J$15-J$16))</f>
        <v>3097414.4068996664</v>
      </c>
      <c r="L52" s="447"/>
      <c r="M52" s="443"/>
      <c r="N52" s="441"/>
      <c r="O52" s="441"/>
      <c r="P52" s="400">
        <f>IF(P$38&lt;1000,"",MAX(0,O$15-O$16))</f>
        <v>20764915.652954999</v>
      </c>
      <c r="Q52" s="443"/>
      <c r="R52" s="441"/>
      <c r="S52" s="441"/>
      <c r="T52" s="400">
        <v>0</v>
      </c>
      <c r="U52" s="443"/>
      <c r="V52" s="441"/>
      <c r="W52" s="441"/>
      <c r="X52" s="400">
        <v>0</v>
      </c>
      <c r="Y52" s="443"/>
      <c r="Z52" s="441"/>
      <c r="AA52" s="441"/>
      <c r="AB52" s="400">
        <v>0</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85">
        <f ca="1">IF(OR(K$38&lt;1000,K$17&lt;=0),0,MAX(0,K$50-K$51)*K$52)</f>
        <v>0</v>
      </c>
      <c r="L53" s="447"/>
      <c r="M53" s="443"/>
      <c r="N53" s="441"/>
      <c r="O53" s="441"/>
      <c r="P53" s="400">
        <f ca="1">IF(OR(P$38&lt;1000,P$17&lt;=0),0,MAX(0,P$50-P$51)*P$52)</f>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282438.59693747759</v>
      </c>
      <c r="H58" s="452"/>
      <c r="I58" s="453"/>
      <c r="J58" s="453"/>
      <c r="K58" s="453"/>
      <c r="L58" s="400">
        <f>L60-L59</f>
        <v>-4752.1204104219796</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f>'[6]Pt 1 Summary of Data'!$I$12+'[6]Pt 1 Summary of Data'!$I$22</f>
        <v>77121222.219578043</v>
      </c>
      <c r="H59" s="443"/>
      <c r="I59" s="441"/>
      <c r="J59" s="472"/>
      <c r="K59" s="441"/>
      <c r="L59" s="398">
        <f>'[6]Pt 1 Summary of Data'!$O$12+'[6]Pt 1 Summary of Data'!$O$22</f>
        <v>1006261.3304104218</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f>+[1]Part3_7.2!$F$17</f>
        <v>77403660.81651552</v>
      </c>
      <c r="H60" s="443"/>
      <c r="I60" s="441"/>
      <c r="J60" s="472"/>
      <c r="K60" s="441"/>
      <c r="L60" s="398">
        <f>+[1]Part3_7.2!$F$23</f>
        <v>1001509.2099999998</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v>0</v>
      </c>
      <c r="F61" s="441"/>
      <c r="G61" s="447"/>
      <c r="H61" s="443"/>
      <c r="I61" s="441"/>
      <c r="J61" s="398">
        <v>0</v>
      </c>
      <c r="K61" s="441"/>
      <c r="L61" s="447"/>
      <c r="M61" s="443"/>
      <c r="N61" s="441"/>
      <c r="O61" s="441"/>
      <c r="P61" s="441"/>
      <c r="Q61" s="443"/>
      <c r="R61" s="441"/>
      <c r="S61" s="398">
        <v>0</v>
      </c>
      <c r="T61" s="441"/>
      <c r="U61" s="443"/>
      <c r="V61" s="441"/>
      <c r="W61" s="398">
        <v>0</v>
      </c>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v>0</v>
      </c>
      <c r="F62" s="441"/>
      <c r="G62" s="447"/>
      <c r="H62" s="443"/>
      <c r="I62" s="441"/>
      <c r="J62" s="398">
        <v>0</v>
      </c>
      <c r="K62" s="441"/>
      <c r="L62" s="447"/>
      <c r="M62" s="443"/>
      <c r="N62" s="441"/>
      <c r="O62" s="441"/>
      <c r="P62" s="441"/>
      <c r="Q62" s="443"/>
      <c r="R62" s="441"/>
      <c r="S62" s="398">
        <v>0</v>
      </c>
      <c r="T62" s="441"/>
      <c r="U62" s="443"/>
      <c r="V62" s="441"/>
      <c r="W62" s="398">
        <v>0</v>
      </c>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v>0</v>
      </c>
      <c r="F63" s="441"/>
      <c r="G63" s="447"/>
      <c r="H63" s="443"/>
      <c r="I63" s="441"/>
      <c r="J63" s="398">
        <v>0</v>
      </c>
      <c r="K63" s="441"/>
      <c r="L63" s="447"/>
      <c r="M63" s="443"/>
      <c r="N63" s="441"/>
      <c r="O63" s="441"/>
      <c r="P63" s="441"/>
      <c r="Q63" s="443"/>
      <c r="R63" s="441"/>
      <c r="S63" s="398">
        <v>0</v>
      </c>
      <c r="T63" s="441"/>
      <c r="U63" s="443"/>
      <c r="V63" s="441"/>
      <c r="W63" s="398">
        <v>0</v>
      </c>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v>0</v>
      </c>
      <c r="F64" s="466"/>
      <c r="G64" s="467"/>
      <c r="H64" s="465"/>
      <c r="I64" s="466"/>
      <c r="J64" s="413">
        <v>0</v>
      </c>
      <c r="K64" s="466"/>
      <c r="L64" s="467"/>
      <c r="M64" s="465"/>
      <c r="N64" s="466"/>
      <c r="O64" s="466"/>
      <c r="P64" s="466"/>
      <c r="Q64" s="465"/>
      <c r="R64" s="466"/>
      <c r="S64" s="413">
        <v>0</v>
      </c>
      <c r="T64" s="466"/>
      <c r="U64" s="465"/>
      <c r="V64" s="466"/>
      <c r="W64" s="413">
        <v>0</v>
      </c>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17886</v>
      </c>
      <c r="D4" s="104">
        <f>'Pt 1 Summary of Data'!$K$56+'Pt 1 Summary of Data'!$M$56-'Pt 1 Summary of Data'!$N$56</f>
        <v>644</v>
      </c>
      <c r="E4" s="104">
        <f>'Pt 1 Summary of Data'!$Q$56+'Pt 1 Summary of Data'!$S$56-'Pt 1 Summary of Data'!$T$56</f>
        <v>1907</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 ca="1">'Pt 3 MLR and Rebate Calculation'!$K$53</f>
        <v>0</v>
      </c>
      <c r="E11" s="97">
        <f ca="1">'Pt 3 MLR and Rebate Calculation'!$P$53</f>
        <v>0</v>
      </c>
      <c r="F11" s="97">
        <f>'Pt 3 MLR and Rebate Calculation'!$T$53</f>
        <v>0</v>
      </c>
      <c r="G11" s="97">
        <f>'Pt 3 MLR and Rebate Calculation'!$X$53</f>
        <v>0</v>
      </c>
      <c r="H11" s="97">
        <f>'Pt 3 MLR and Rebate Calculation'!$AB$53</f>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9" t="s">
        <v>504</v>
      </c>
      <c r="D23" s="490"/>
      <c r="E23" s="490"/>
      <c r="F23" s="490"/>
      <c r="G23" s="490"/>
      <c r="H23" s="490"/>
      <c r="I23" s="490"/>
      <c r="J23" s="490"/>
      <c r="K23" s="491"/>
    </row>
    <row r="24" spans="2:12" s="5" customFormat="1" ht="100.15" customHeight="1" x14ac:dyDescent="0.2">
      <c r="B24" s="90" t="s">
        <v>213</v>
      </c>
      <c r="C24" s="492" t="s">
        <v>504</v>
      </c>
      <c r="D24" s="493"/>
      <c r="E24" s="493"/>
      <c r="F24" s="493"/>
      <c r="G24" s="493"/>
      <c r="H24" s="493"/>
      <c r="I24" s="493"/>
      <c r="J24" s="493"/>
      <c r="K24" s="49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 sqref="C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125</v>
      </c>
      <c r="C5" s="113"/>
      <c r="D5" s="136" t="s">
        <v>505</v>
      </c>
      <c r="E5" s="7"/>
    </row>
    <row r="6" spans="1:5" ht="35.25" customHeight="1" x14ac:dyDescent="0.2">
      <c r="B6" s="134" t="s">
        <v>114</v>
      </c>
      <c r="C6" s="113"/>
      <c r="D6" s="137" t="s">
        <v>506</v>
      </c>
      <c r="E6" s="7"/>
    </row>
    <row r="7" spans="1:5" ht="35.25" customHeight="1" x14ac:dyDescent="0.2">
      <c r="B7" s="134" t="s">
        <v>110</v>
      </c>
      <c r="C7" s="113"/>
      <c r="D7" s="137" t="s">
        <v>507</v>
      </c>
      <c r="E7" s="7"/>
    </row>
    <row r="8" spans="1:5" ht="35.25" customHeight="1" x14ac:dyDescent="0.2">
      <c r="B8" s="134" t="s">
        <v>85</v>
      </c>
      <c r="C8" s="113"/>
      <c r="D8" s="137" t="s">
        <v>507</v>
      </c>
      <c r="E8" s="7"/>
    </row>
    <row r="9" spans="1:5" ht="35.25" customHeight="1" x14ac:dyDescent="0.2">
      <c r="B9" s="134" t="s">
        <v>289</v>
      </c>
      <c r="C9" s="113"/>
      <c r="D9" s="137" t="s">
        <v>508</v>
      </c>
      <c r="E9" s="7"/>
    </row>
    <row r="10" spans="1:5" ht="35.25" customHeight="1" x14ac:dyDescent="0.2">
      <c r="B10" s="134" t="s">
        <v>115</v>
      </c>
      <c r="C10" s="113"/>
      <c r="D10" s="137" t="s">
        <v>509</v>
      </c>
      <c r="E10" s="7"/>
    </row>
    <row r="11" spans="1:5" ht="35.25" customHeight="1" x14ac:dyDescent="0.2">
      <c r="B11" s="134" t="s">
        <v>116</v>
      </c>
      <c r="C11" s="113"/>
      <c r="D11" s="137" t="s">
        <v>510</v>
      </c>
      <c r="E11" s="7"/>
    </row>
    <row r="12" spans="1:5" ht="35.25" customHeight="1" x14ac:dyDescent="0.2">
      <c r="B12" s="135" t="s">
        <v>117</v>
      </c>
      <c r="C12" s="113"/>
      <c r="D12" s="137" t="s">
        <v>511</v>
      </c>
      <c r="E12" s="7"/>
    </row>
    <row r="13" spans="1:5" ht="35.25" customHeight="1" x14ac:dyDescent="0.2">
      <c r="B13" s="134" t="s">
        <v>512</v>
      </c>
      <c r="C13" s="113"/>
      <c r="D13" s="137" t="s">
        <v>513</v>
      </c>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241</v>
      </c>
      <c r="C27" s="113"/>
      <c r="D27" s="138" t="s">
        <v>514</v>
      </c>
      <c r="E27" s="7"/>
    </row>
    <row r="28" spans="2:5" ht="35.25" customHeight="1" x14ac:dyDescent="0.2">
      <c r="B28" s="134" t="s">
        <v>242</v>
      </c>
      <c r="C28" s="113"/>
      <c r="D28" s="137" t="s">
        <v>515</v>
      </c>
      <c r="E28" s="7"/>
    </row>
    <row r="29" spans="2:5" ht="35.25" customHeight="1" x14ac:dyDescent="0.2">
      <c r="B29" s="134" t="s">
        <v>243</v>
      </c>
      <c r="C29" s="113"/>
      <c r="D29" s="137" t="s">
        <v>516</v>
      </c>
      <c r="E29" s="7"/>
    </row>
    <row r="30" spans="2:5" ht="35.25" customHeight="1" x14ac:dyDescent="0.2">
      <c r="B30" s="134" t="s">
        <v>244</v>
      </c>
      <c r="C30" s="113"/>
      <c r="D30" s="137" t="s">
        <v>514</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246</v>
      </c>
      <c r="C34" s="113"/>
      <c r="D34" s="137" t="s">
        <v>514</v>
      </c>
      <c r="E34" s="7"/>
    </row>
    <row r="35" spans="2:5" ht="35.25" customHeight="1" x14ac:dyDescent="0.2">
      <c r="B35" s="134" t="s">
        <v>247</v>
      </c>
      <c r="C35" s="113"/>
      <c r="D35" s="137" t="s">
        <v>517</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248</v>
      </c>
      <c r="C41" s="113"/>
      <c r="D41" s="137" t="s">
        <v>513</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250</v>
      </c>
      <c r="C48" s="113"/>
      <c r="D48" s="137" t="s">
        <v>518</v>
      </c>
      <c r="E48" s="7"/>
    </row>
    <row r="49" spans="2:5" ht="35.25" customHeight="1" x14ac:dyDescent="0.2">
      <c r="B49" s="134" t="s">
        <v>251</v>
      </c>
      <c r="C49" s="113"/>
      <c r="D49" s="137" t="s">
        <v>513</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253</v>
      </c>
      <c r="C56" s="115"/>
      <c r="D56" s="137" t="s">
        <v>513</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254</v>
      </c>
      <c r="C67" s="115"/>
      <c r="D67" s="137" t="s">
        <v>513</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255</v>
      </c>
      <c r="C78" s="115"/>
      <c r="D78" s="137" t="s">
        <v>513</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256</v>
      </c>
      <c r="C89" s="115"/>
      <c r="D89" s="137" t="s">
        <v>513</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257</v>
      </c>
      <c r="C100" s="115"/>
      <c r="D100" s="137" t="s">
        <v>519</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258</v>
      </c>
      <c r="C111" s="115"/>
      <c r="D111" s="137" t="s">
        <v>513</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260</v>
      </c>
      <c r="C123" s="113"/>
      <c r="D123" s="137" t="s">
        <v>520</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261</v>
      </c>
      <c r="C134" s="113"/>
      <c r="D134" s="137" t="s">
        <v>521</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262</v>
      </c>
      <c r="C145" s="113"/>
      <c r="D145" s="137" t="s">
        <v>522</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263</v>
      </c>
      <c r="C156" s="113"/>
      <c r="D156" s="137" t="s">
        <v>523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303</v>
      </c>
      <c r="C167" s="113"/>
      <c r="D167" s="137" t="s">
        <v>513</v>
      </c>
      <c r="E167" s="27"/>
    </row>
    <row r="168" spans="2:5" s="5" customFormat="1" ht="35.25" customHeight="1" x14ac:dyDescent="0.2">
      <c r="B168" s="134" t="s">
        <v>265</v>
      </c>
      <c r="C168" s="113"/>
      <c r="D168" s="137" t="s">
        <v>524</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266</v>
      </c>
      <c r="C178" s="113"/>
      <c r="D178" s="137" t="s">
        <v>525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526</v>
      </c>
      <c r="C189" s="113"/>
      <c r="D189" s="137" t="s">
        <v>513</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527</v>
      </c>
      <c r="C200" s="113"/>
      <c r="D200" s="137" t="s">
        <v>528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pascarem</cp:lastModifiedBy>
  <cp:lastPrinted>2014-12-18T11:24:00Z</cp:lastPrinted>
  <dcterms:created xsi:type="dcterms:W3CDTF">2012-03-15T16:14:51Z</dcterms:created>
  <dcterms:modified xsi:type="dcterms:W3CDTF">2016-07-25T20:45:54Z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