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6" i="10" l="1"/>
  <c r="J15" i="10" l="1"/>
  <c r="I38" i="10" l="1"/>
  <c r="J38" i="10"/>
  <c r="L29" i="10" l="1"/>
  <c r="G36" i="10" l="1"/>
  <c r="G35" i="10"/>
  <c r="L25" i="10"/>
  <c r="L59" i="10" l="1"/>
  <c r="L60" i="10"/>
  <c r="G60" i="10"/>
  <c r="G59" i="10"/>
  <c r="D8" i="4" l="1"/>
  <c r="I58" i="18" l="1"/>
  <c r="E24" i="18"/>
  <c r="K24" i="18" l="1"/>
  <c r="L58" i="10" l="1"/>
  <c r="G58" i="10"/>
  <c r="L15" i="10"/>
  <c r="L10" i="10"/>
  <c r="L7" i="10"/>
  <c r="K47" i="10"/>
  <c r="J11" i="10"/>
  <c r="J10" i="10"/>
  <c r="J7" i="10"/>
  <c r="I50" i="10"/>
  <c r="I16" i="10"/>
  <c r="I15" i="10"/>
  <c r="G15" i="10"/>
  <c r="G10" i="10"/>
  <c r="G9" i="10"/>
  <c r="G8" i="10"/>
  <c r="G7" i="10"/>
  <c r="F47" i="10"/>
  <c r="F42" i="10"/>
  <c r="E38" i="10"/>
  <c r="E15" i="10"/>
  <c r="E11" i="10"/>
  <c r="E10" i="10"/>
  <c r="E9" i="10"/>
  <c r="E8" i="10"/>
  <c r="E7" i="10"/>
  <c r="D50" i="10"/>
  <c r="D38" i="10"/>
  <c r="F38" i="10" s="1"/>
  <c r="H17" i="10"/>
  <c r="D16" i="10"/>
  <c r="D15" i="10"/>
  <c r="D11" i="10"/>
  <c r="F11" i="10" s="1"/>
  <c r="F8" i="10" l="1"/>
  <c r="K6" i="10"/>
  <c r="D17" i="10"/>
  <c r="K38" i="10"/>
  <c r="K15" i="10"/>
  <c r="J12" i="10"/>
  <c r="F15" i="10"/>
  <c r="I17" i="10"/>
  <c r="I11" i="10" l="1"/>
  <c r="I7" i="10"/>
  <c r="I10" i="10"/>
  <c r="D10" i="10"/>
  <c r="D9" i="10"/>
  <c r="F10" i="10" l="1"/>
  <c r="K10" i="10"/>
  <c r="F9" i="10"/>
  <c r="K11" i="10"/>
  <c r="K7" i="10"/>
  <c r="I12" i="10"/>
  <c r="D7" i="10"/>
  <c r="I45" i="10" l="1"/>
  <c r="K12" i="10"/>
  <c r="F7" i="10"/>
  <c r="D12" i="10"/>
  <c r="O53" i="4"/>
  <c r="O52" i="4"/>
  <c r="O50" i="4"/>
  <c r="O49" i="4"/>
  <c r="O46" i="4"/>
  <c r="O45" i="4"/>
  <c r="O44" i="4"/>
  <c r="O42" i="4"/>
  <c r="O41" i="4"/>
  <c r="O40" i="4"/>
  <c r="O39" i="4"/>
  <c r="O38" i="4"/>
  <c r="O37" i="4"/>
  <c r="O32" i="4"/>
  <c r="O30" i="4"/>
  <c r="O28" i="4"/>
  <c r="O26" i="4"/>
  <c r="O25" i="4"/>
  <c r="O15" i="4"/>
  <c r="O14" i="4"/>
  <c r="O13" i="4"/>
  <c r="O7" i="4"/>
  <c r="O6" i="4"/>
  <c r="O59" i="4"/>
  <c r="O58" i="4"/>
  <c r="O57" i="4"/>
  <c r="O56" i="4"/>
  <c r="K59" i="4"/>
  <c r="K58" i="4"/>
  <c r="K57" i="4"/>
  <c r="K56" i="4"/>
  <c r="K53" i="4"/>
  <c r="K52" i="4"/>
  <c r="K50" i="4"/>
  <c r="K49" i="4"/>
  <c r="K46" i="4"/>
  <c r="K45" i="4"/>
  <c r="K44" i="4"/>
  <c r="K42" i="4"/>
  <c r="K41" i="4"/>
  <c r="K40" i="4"/>
  <c r="K39" i="4"/>
  <c r="K38" i="4"/>
  <c r="K37" i="4"/>
  <c r="K32" i="4"/>
  <c r="K30" i="4"/>
  <c r="I59" i="4"/>
  <c r="I57" i="4"/>
  <c r="I56" i="4"/>
  <c r="I53" i="4"/>
  <c r="I52" i="4"/>
  <c r="I50" i="4"/>
  <c r="I49" i="4"/>
  <c r="I46" i="4"/>
  <c r="I45" i="4"/>
  <c r="I44" i="4"/>
  <c r="I42" i="4"/>
  <c r="I41" i="4"/>
  <c r="I40" i="4"/>
  <c r="I39" i="4"/>
  <c r="I38" i="4"/>
  <c r="I37" i="4"/>
  <c r="I32" i="4"/>
  <c r="I30" i="4"/>
  <c r="I28" i="4"/>
  <c r="I25" i="4"/>
  <c r="I7" i="4"/>
  <c r="I6" i="4"/>
  <c r="E59" i="4"/>
  <c r="E57" i="4"/>
  <c r="E56" i="4"/>
  <c r="E53" i="4"/>
  <c r="E52" i="4"/>
  <c r="E49" i="4"/>
  <c r="E46" i="4"/>
  <c r="E45" i="4"/>
  <c r="E44" i="4"/>
  <c r="E42" i="4"/>
  <c r="E41" i="4"/>
  <c r="E40" i="4"/>
  <c r="E39" i="4"/>
  <c r="E38" i="4"/>
  <c r="E37" i="4"/>
  <c r="E32" i="4"/>
  <c r="E30" i="4"/>
  <c r="I26" i="4"/>
  <c r="I15" i="4"/>
  <c r="I14" i="4"/>
  <c r="I13" i="4"/>
  <c r="K15" i="4"/>
  <c r="E15" i="4"/>
  <c r="K14" i="4"/>
  <c r="K13" i="4"/>
  <c r="E14" i="4"/>
  <c r="E13" i="4"/>
  <c r="D45" i="10" l="1"/>
  <c r="J47" i="4"/>
  <c r="D47" i="4"/>
  <c r="D35" i="4"/>
  <c r="J35" i="4"/>
  <c r="J31" i="4"/>
  <c r="D31" i="4"/>
  <c r="J27" i="4"/>
  <c r="D27" i="4"/>
  <c r="J26" i="4"/>
  <c r="D26" i="4"/>
  <c r="J8" i="4"/>
  <c r="D34" i="4"/>
  <c r="J34" i="4"/>
  <c r="E47" i="4" l="1"/>
  <c r="K34" i="4"/>
  <c r="K31" i="4"/>
  <c r="K47" i="4"/>
  <c r="E35" i="4"/>
  <c r="E31" i="4"/>
  <c r="E34" i="4"/>
  <c r="K35" i="4"/>
  <c r="D51" i="4"/>
  <c r="J51" i="4"/>
  <c r="K27" i="4"/>
  <c r="E27" i="4"/>
  <c r="E51" i="4" l="1"/>
  <c r="I35" i="4"/>
  <c r="O31" i="4"/>
  <c r="I31" i="4"/>
  <c r="O47" i="4"/>
  <c r="O34" i="4"/>
  <c r="I34" i="4"/>
  <c r="I47" i="4"/>
  <c r="O35" i="4"/>
  <c r="K51" i="4"/>
  <c r="E16" i="10"/>
  <c r="I27" i="4"/>
  <c r="J16" i="10"/>
  <c r="O27" i="4"/>
  <c r="E60" i="4"/>
  <c r="F60" i="4"/>
  <c r="G60" i="4"/>
  <c r="H60" i="4"/>
  <c r="I60" i="4"/>
  <c r="J60" i="4"/>
  <c r="K60" i="4"/>
  <c r="L60" i="4"/>
  <c r="M60" i="4"/>
  <c r="N60" i="4"/>
  <c r="O60" i="4"/>
  <c r="D60" i="4"/>
  <c r="E22" i="4"/>
  <c r="F22" i="4"/>
  <c r="G22" i="4"/>
  <c r="H22" i="4"/>
  <c r="I22" i="4"/>
  <c r="J22" i="4"/>
  <c r="K22" i="4"/>
  <c r="L22" i="4"/>
  <c r="M22" i="4"/>
  <c r="N22" i="4"/>
  <c r="O22" i="4"/>
  <c r="D22" i="4"/>
  <c r="F12" i="4"/>
  <c r="G12" i="4"/>
  <c r="H12" i="4"/>
  <c r="J12" i="4"/>
  <c r="L12" i="4"/>
  <c r="M12" i="4"/>
  <c r="N12" i="4"/>
  <c r="D12" i="4"/>
  <c r="O5" i="4"/>
  <c r="N5" i="4"/>
  <c r="M5" i="4"/>
  <c r="L5" i="4"/>
  <c r="K5" i="4"/>
  <c r="J5" i="4"/>
  <c r="I5" i="4"/>
  <c r="H5" i="4"/>
  <c r="G5" i="4"/>
  <c r="F5" i="4"/>
  <c r="E5" i="4"/>
  <c r="D5" i="4"/>
  <c r="O11" i="18"/>
  <c r="O57" i="18"/>
  <c r="O56" i="18"/>
  <c r="O53" i="18"/>
  <c r="O52" i="18"/>
  <c r="O49" i="18"/>
  <c r="O46" i="18"/>
  <c r="O45" i="18"/>
  <c r="O42" i="18"/>
  <c r="O39" i="18"/>
  <c r="O36" i="18"/>
  <c r="O35" i="18"/>
  <c r="O31" i="18"/>
  <c r="O27" i="18"/>
  <c r="I20" i="18"/>
  <c r="D20" i="18"/>
  <c r="J17" i="18"/>
  <c r="D17" i="18"/>
  <c r="O51" i="4" l="1"/>
  <c r="I51" i="4"/>
  <c r="G16" i="10"/>
  <c r="L16" i="10"/>
  <c r="L24" i="10" s="1"/>
  <c r="J17" i="10"/>
  <c r="K16" i="10"/>
  <c r="K52" i="10"/>
  <c r="F16" i="10"/>
  <c r="F52" i="10"/>
  <c r="E17" i="10"/>
  <c r="O16" i="18"/>
  <c r="J16" i="18"/>
  <c r="I16" i="18"/>
  <c r="D16" i="18"/>
  <c r="I15" i="18"/>
  <c r="D15" i="18"/>
  <c r="O14" i="18"/>
  <c r="O13" i="18"/>
  <c r="O7" i="18"/>
  <c r="O6" i="18"/>
  <c r="O5" i="18"/>
  <c r="L23" i="10" l="1"/>
  <c r="G24" i="10"/>
  <c r="L20" i="10"/>
  <c r="G27" i="10"/>
  <c r="G32" i="10"/>
  <c r="G20" i="10"/>
  <c r="L30" i="10"/>
  <c r="L21" i="10"/>
  <c r="L32" i="10"/>
  <c r="L27" i="10"/>
  <c r="G23" i="10"/>
  <c r="J45" i="10"/>
  <c r="F17" i="10"/>
  <c r="K17" i="10"/>
  <c r="I53" i="18"/>
  <c r="I52" i="18"/>
  <c r="I49" i="18"/>
  <c r="I46" i="18"/>
  <c r="I45" i="18"/>
  <c r="I42" i="18"/>
  <c r="I39" i="18"/>
  <c r="I36" i="18"/>
  <c r="I35" i="18"/>
  <c r="I31" i="18"/>
  <c r="I27" i="18"/>
  <c r="I24" i="18"/>
  <c r="I14" i="18"/>
  <c r="I13" i="18"/>
  <c r="I11" i="18"/>
  <c r="I7" i="18"/>
  <c r="I6" i="18"/>
  <c r="I5" i="18"/>
  <c r="G21" i="10" l="1"/>
  <c r="G30" i="10"/>
  <c r="L31" i="10"/>
  <c r="G25" i="10"/>
  <c r="L26" i="10"/>
  <c r="G29" i="10"/>
  <c r="K45" i="10"/>
  <c r="I54" i="18"/>
  <c r="I12" i="4" s="1"/>
  <c r="G6" i="10" s="1"/>
  <c r="K57" i="18"/>
  <c r="E57" i="18"/>
  <c r="K56" i="18"/>
  <c r="E56" i="18"/>
  <c r="E54" i="18"/>
  <c r="E12" i="4" s="1"/>
  <c r="J54" i="18"/>
  <c r="K53" i="18"/>
  <c r="K52" i="18"/>
  <c r="E53" i="18"/>
  <c r="E52" i="18"/>
  <c r="E49" i="18"/>
  <c r="E6" i="10" l="1"/>
  <c r="G26" i="10"/>
  <c r="L33" i="10"/>
  <c r="G28" i="10"/>
  <c r="G31" i="10"/>
  <c r="G33" i="10"/>
  <c r="L28" i="10"/>
  <c r="F6" i="10"/>
  <c r="E12" i="10"/>
  <c r="K48" i="10"/>
  <c r="G19" i="10"/>
  <c r="D54" i="18"/>
  <c r="K14" i="18"/>
  <c r="K13" i="18"/>
  <c r="K11" i="18"/>
  <c r="E14" i="18"/>
  <c r="E13" i="18"/>
  <c r="E11" i="18"/>
  <c r="E45" i="10" l="1"/>
  <c r="F12" i="10"/>
  <c r="K51" i="10"/>
  <c r="G22" i="10"/>
  <c r="G34" i="10"/>
  <c r="K5" i="18"/>
  <c r="E5" i="18"/>
  <c r="L36" i="10" l="1"/>
  <c r="L35" i="10"/>
  <c r="F45" i="10"/>
  <c r="K7" i="18"/>
  <c r="E7" i="18"/>
  <c r="K6" i="18"/>
  <c r="E6" i="18"/>
  <c r="F48" i="10" l="1"/>
  <c r="F51" i="10" l="1"/>
  <c r="O24" i="18"/>
  <c r="K54" i="18"/>
  <c r="K12" i="4" l="1"/>
  <c r="O54" i="18"/>
  <c r="O12" i="4" l="1"/>
  <c r="L6" i="10" s="1"/>
  <c r="L19" i="10" l="1"/>
  <c r="L22" i="10" l="1"/>
  <c r="L34" i="10"/>
</calcChain>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<sst xmlns="http://schemas.openxmlformats.org/spreadsheetml/2006/main" count="565" uniqueCount="502">
  <si>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</si>
  <si>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</si>
  <si>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</si>
  <si>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</si>
  <si>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</si>
  <si>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</si>
  <si>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</si>
  <si>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</si>
  <si>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</si>
  <si>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</si>
  <si>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</si>
  <si>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</si>
  <si>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</si>
  <si>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</si>
  <si>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</si>
  <si>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</si>
  <si>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</si>
  <si>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</si>
  <si>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</si>
  <si>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</si>
  <si>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</si>
  <si>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</si>
  <si>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</si>
  <si>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</si>
  <si>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</si>
  <si>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</si>
  <si>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</si>
  <si>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</si>
  <si>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</si>
  <si>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</si>
  <si>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</si>
  <si>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</si>
  <si>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</si>
  <si>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</si>
  <si>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</si>
  <si>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</si>
  <si>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</si>
  <si>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</si>
  <si>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</si>
  <si>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</si>
  <si>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</si>
  <si>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</si>
  <si>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</si>
  <si>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</si>
  <si>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</si>
  <si>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</si>
  <si>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</si>
  <si>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</si>
  <si>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</si>
  <si>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</si>
  <si>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</si>
  <si>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</si>
  <si>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</si>
  <si>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</si>
  <si>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</si>
  <si>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</si>
  <si>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</si>
  <si>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</si>
  <si>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</si>
  <si>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</si>
  <si>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</si>
  <si>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</si>
  <si>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</si>
  <si>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</si>
  <si>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</si>
  <si>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</si>
  <si>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</si>
  <si>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</si>
  <si>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</si>
  <si>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</si>
  <si>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</si>
  <si>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</si>
  <si>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</si>
  <si>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</si>
  <si>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</si>
  <si>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</si>
  <si>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</si>
  <si>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</si>
  <si>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</si>
  <si>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</si>
  <si>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</si>
  <si>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</si>
  <si>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</si>
  <si>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</si>
  <si>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</si>
  <si>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</si>
  <si>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</si>
  <si>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</si>
  <si>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</si>
  <si>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</si>
  <si>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</si>
  <si>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</si>
  <si>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</si>
  <si>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</si>
  <si>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</si>
  <si>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</si>
  <si>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</si>
  <si>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</si>
  <si>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</si>
  <si>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</si>
  <si>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</si>
  <si>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</si>
  <si>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</si>
  <si>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</si>
  <si>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</si>
  <si>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</si>
  <si>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</si>
  <si>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</si>
  <si>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</si>
  <si>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</si>
  <si>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</si>
  <si>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</si>
  <si>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</si>
  <si>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</si>
  <si>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</si>
  <si>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</si>
  <si>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</si>
  <si>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</si>
  <si>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</si>
  <si>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</si>
  <si>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</si>
  <si>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</si>
  <si>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</si>
  <si>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</si>
  <si>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</si>
  <si>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</si>
  <si>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</si>
  <si>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</si>
  <si>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</si>
  <si>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</si>
  <si>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</si>
  <si>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</si>
  <si>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</si>
  <si>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</si>
  <si>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</si>
  <si>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</si>
  <si>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</si>
  <si>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</si>
  <si>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</si>
  <si>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</si>
  <si>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</si>
  <si>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</si>
  <si>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</si>
  <si>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</si>
  <si>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</si>
  <si>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</si>
  <si>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</si>
  <si>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</si>
  <si>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</si>
  <si>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</si>
  <si>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</si>
  <si>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</si>
  <si>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</si>
  <si>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</si>
  <si>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</si>
  <si>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</si>
  <si>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</si>
  <si>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</si>
  <si>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</si>
  <si>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</si>
  <si>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</si>
  <si>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</si>
  <si>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</si>
  <si>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</si>
  <si>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</si>
  <si>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</si>
  <si>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</si>
  <si>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</si>
  <si>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</si>
  <si>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</si>
  <si>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</si>
  <si>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</si>
  <si>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</si>
  <si>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</si>
  <si>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</si>
  <si>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</si>
  <si>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</si>
  <si>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</si>
  <si>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</si>
  <si>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</si>
  <si>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</si>
  <si>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</si>
  <si>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</si>
  <si>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</si>
  <si>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</si>
  <si>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</si>
  <si>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</si>
  <si>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</si>
  <si>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</si>
  <si>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</si>
  <si>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</si>
  <si>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</si>
  <si>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</si>
  <si>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</si>
  <si>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</si>
  <si>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</si>
  <si>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</si>
  <si>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</si>
  <si>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</si>
  <si>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</si>
  <si>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</si>
  <si>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</si>
  <si>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</si>
  <si>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</si>
  <si>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</si>
  <si>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</si>
  <si>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</si>
  <si>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</si>
  <si>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</si>
  <si>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</si>
  <si>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</si>
  <si>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</si>
  <si>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</si>
  <si>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</si>
  <si>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</si>
  <si>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</si>
  <si>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</si>
  <si>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</si>
  <si>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</si>
  <si>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</si>
  <si>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</si>
  <si>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</si>
  <si>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</si>
  <si>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</si>
  <si>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</si>
  <si>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</si>
  <si>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</si>
  <si>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</si>
  <si>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</si>
  <si>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</si>
  <si>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</si>
  <si>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</si>
  <si>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</si>
  <si>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</si>
  <si>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</si>
  <si>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</si>
  <si>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</si>
  <si>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</si>
  <si>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</si>
  <si>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</si>
  <si>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</si>
  <si>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</si>
  <si>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</si>
  <si>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</si>
  <si>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</si>
  <si>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</si>
  <si>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</si>
  <si>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</si>
  <si>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</si>
  <si>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</si>
  <si>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</si>
  <si>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</si>
  <si>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</si>
  <si>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</si>
  <si>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</si>
  <si>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</si>
  <si>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</si>
  <si>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</si>
  <si>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</si>
  <si>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</si>
  <si>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</si>
  <si>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</si>
  <si>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</si>
  <si>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</si>
  <si>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</si>
  <si>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</si>
  <si>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</si>
  <si>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</si>
  <si>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</si>
  <si>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</si>
  <si>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</si>
  <si>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</si>
  <si>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</si>
  <si>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</si>
  <si>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</si>
  <si>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</si>
  <si>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</si>
  <si>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</si>
  <si>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</si>
  <si>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</si>
  <si>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</si>
  <si>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</si>
  <si>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</si>
  <si>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</si>
  <si>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</si>
  <si>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</si>
  <si>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</si>
  <si>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</si>
  <si>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</si>
  <si>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</si>
  <si>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</si>
  <si>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</si>
  <si>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</si>
  <si>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</si>
  <si>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</si>
  <si>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</si>
  <si>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</si>
  <si>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</si>
  <si>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</si>
  <si>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</si>
  <si>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</si>
  <si>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</si>
  <si>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</si>
  <si>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</si>
  <si>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</si>
  <si>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</si>
  <si>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</si>
  <si>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</si>
  <si>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</si>
  <si>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</si>
  <si>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</si>
  <si>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</si>
  <si>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</si>
  <si>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</si>
  <si>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</si>
  <si>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</si>
  <si>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</si>
  <si>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</si>
  <si>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</si>
  <si>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</si>
  <si>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</si>
  <si>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</si>
  <si>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</si>
  <si>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</si>
  <si>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</si>
  <si>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</si>
  <si>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</si>
  <si>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</si>
  <si>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</si>
  <si>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</si>
  <si>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</si>
  <si>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</si>
  <si>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</si>
  <si>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</si>
  <si>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</si>
  <si>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</si>
  <si>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</si>
  <si>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</si>
  <si>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</si>
  <si>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</si>
  <si>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</si>
  <si>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</si>
  <si>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</si>
  <si>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</si>
  <si>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</si>
  <si>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</si>
  <si>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</si>
  <si>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</si>
  <si>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</si>
  <si>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</si>
  <si>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</si>
  <si>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</si>
  <si>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</si>
  <si>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</si>
  <si>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</si>
  <si>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</si>
  <si>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</si>
  <si>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</si>
  <si>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</si>
  <si>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</si>
  <si>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</si>
  <si>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</si>
  <si>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</si>
  <si>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</si>
  <si>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</si>
  <si>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</si>
  <si>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</si>
  <si>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</si>
  <si>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</si>
  <si>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</si>
  <si>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</si>
  <si>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</si>
  <si>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</si>
  <si>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</si>
  <si>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</si>
  <si>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</si>
  <si>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</si>
  <si>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</si>
  <si>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</si>
  <si>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</si>
  <si>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</si>
  <si>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</si>
  <si>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</si>
  <si>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</si>
  <si>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</si>
  <si>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</si>
  <si>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</si>
  <si>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</si>
  <si>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</si>
  <si>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</si>
  <si>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</si>
  <si>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</si>
  <si>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</si>
  <si>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</si>
  <si>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</si>
  <si>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</si>
  <si>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</si>
  <si>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</si>
  <si>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</si>
  <si>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</si>
  <si>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</si>
  <si>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</si>
  <si>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</si>
  <si>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</si>
  <si>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</si>
  <si>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</si>
  <si>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</si>
  <si>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</si>
  <si>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</si>
  <si>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</si>
  <si>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</si>
  <si>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</si>
  <si>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</si>
  <si>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</si>
  <si>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</si>
  <si>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</si>
  <si>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</si>
  <si>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</si>
  <si>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</si>
  <si>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</si>
  <si>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</si>
  <si>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</si>
  <si>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</si>
  <si>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</si>
  <si>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</si>
  <si>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</si>
  <si>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</si>
  <si>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</si>
  <si>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</si>
  <si>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</si>
  <si>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</si>
  <si>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</si>
  <si>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</si>
  <si>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</si>
  <si>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</si>
  <si>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</si>
  <si>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</si>
  <si>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</si>
  <si>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</si>
  <si>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</si>
  <si>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</si>
  <si>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</si>
  <si>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</si>
  <si>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</si>
  <si>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</si>
  <si>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</si>
  <si>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</si>
  <si>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</si>
  <si>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</si>
  <si>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</si>
  <si>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</si>
  <si>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</si>
  <si>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</si>
  <si>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</si>
  <si>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</si>
  <si>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</si>
  <si>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</si>
  <si>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</si>
  <si>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</si>
  <si>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</si>
  <si>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</si>
  <si>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</si>
  <si>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</si>
  <si>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</si>
  <si>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</si>
  <si>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</si>
  <si>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</si>
  <si>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</si>
  <si>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</si>
  <si>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</si>
  <si>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</si>
  <si>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</si>
  <si>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</si>
  <si>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</si>
  <si>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</si>
  <si>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</si>
  <si>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</si>
  <si>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</si>
  <si>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</si>
  <si>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</si>
  <si>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</si>
  <si>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</si>
  <si>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</si>
  <si>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</si>
  <si>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</si>
  <si>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</si>
  <si>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</si>
  <si>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</si>
  <si>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</si>
  <si>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</si>
  <si>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</si>
  <si>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</si>
  <si>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</si>
  <si>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</si>
  <si>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</si>
  <si>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</si>
  <si>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Consumers' Choice Health Insurance Company</t>
  </si>
  <si>
    <t>2015</t>
  </si>
  <si>
    <t>4995 Lacross Road, Suite 1300 North Charleston, SC 29406</t>
  </si>
  <si>
    <t>453124969</t>
  </si>
  <si>
    <t>65122</t>
  </si>
  <si>
    <t>682</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</si>
</sst>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44" fontId="0" fillId="0" borderId="29" xfId="839" applyNumberFormat="1" applyFont="1" applyFill="1" applyBorder="1" applyAlignment="1" applyProtection="1">
      <alignment vertical="top"/>
      <protection locked="0"/>
    </xf>
    <xf numFmtId="44" fontId="0" fillId="0" borderId="71" xfId="839" applyNumberFormat="1" applyFont="1" applyFill="1" applyBorder="1" applyAlignment="1" applyProtection="1">
      <alignment vertical="top"/>
      <protection locked="0"/>
    </xf>
    <xf numFmtId="43" fontId="0" fillId="0" borderId="26" xfId="839"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44" fontId="0" fillId="0" borderId="28" xfId="839"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MLR%20RC%202015\MLR%20RC%20CCHP%202015\WP2%20-%20CCH%20YE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CHA%20and%20CCHP%20files\CMS%20Reporting\CMS%20Reporting%20-%20CCHP\2015%20MLR%20and%20RC\CCHP%20lags%20by%20LOB%20--%207.27.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CHA%20and%20CCHP%20files\CMS%20Reporting\CMS%20Reporting%20-%20CCHP\2014%20MLR%20and%20RC\refiled%202014%20RC\CCHP_MLR_Template_South_Carolina_2015090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CHA%20and%20CCHP%20files\CMS%20Reporting\CMS%20Reporting%20-%20CCHP\2014%20MLR%20and%20RC\refiled%202014%20RC\MLR_RC_Template_SC_2015090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LR_RC_Template_SC_CCHP_2015_v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LR%20RC%202014/CCHP/HIOS%20Submission%20v3/CCHP_MLR_Template_South_Carolina_2015090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LR%20RC%202014\CCHP\HIOS%20Submission%20v3\2014-MLR-Calculator-CCHP_201509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 Balance Sheet"/>
      <sheetName val="B - Income Statement"/>
      <sheetName val="C - Capital And Surplus"/>
      <sheetName val="D - Journal Entries"/>
      <sheetName val="E - Trial Balance"/>
      <sheetName val="F - INDIVIDUAL - JE 8 &amp; 9"/>
      <sheetName val="G - INDIVIDUAL - EXCHANGE"/>
      <sheetName val="JE 2"/>
      <sheetName val="JE 4 &amp; JE 5"/>
      <sheetName val="JE 10"/>
      <sheetName val="JE 11 (Membership)"/>
      <sheetName val="JE 12"/>
      <sheetName val="JE 13"/>
      <sheetName val="JE 14"/>
      <sheetName val="JE15"/>
      <sheetName val="JE 17"/>
      <sheetName val="JE22"/>
      <sheetName val="1B - NON ADMIT"/>
      <sheetName val="5B-Non Admit Rebates"/>
      <sheetName val="7B-NonAdmit Risk Corridor"/>
      <sheetName val="Description of Account activity"/>
      <sheetName val="Sheet2"/>
    </sheetNames>
    <sheetDataSet>
      <sheetData sheetId="0"/>
      <sheetData sheetId="1">
        <row r="9">
          <cell r="N9">
            <v>3571373</v>
          </cell>
          <cell r="O9">
            <v>26723</v>
          </cell>
        </row>
        <row r="10">
          <cell r="N10">
            <v>2636354</v>
          </cell>
          <cell r="O10">
            <v>18716</v>
          </cell>
        </row>
        <row r="50">
          <cell r="N50">
            <v>62900</v>
          </cell>
          <cell r="O50">
            <v>202</v>
          </cell>
        </row>
        <row r="51">
          <cell r="N51">
            <v>11408958</v>
          </cell>
          <cell r="O51">
            <v>80426</v>
          </cell>
        </row>
        <row r="57">
          <cell r="N57">
            <v>9238849</v>
          </cell>
        </row>
        <row r="58">
          <cell r="N58">
            <v>146429</v>
          </cell>
          <cell r="O58">
            <v>1014</v>
          </cell>
        </row>
        <row r="59">
          <cell r="N59">
            <v>1306741</v>
          </cell>
          <cell r="O59">
            <v>6513</v>
          </cell>
        </row>
        <row r="60">
          <cell r="N60">
            <v>114585</v>
          </cell>
        </row>
        <row r="118">
          <cell r="N118">
            <v>3384740</v>
          </cell>
          <cell r="O118">
            <v>21817</v>
          </cell>
        </row>
        <row r="119">
          <cell r="N119">
            <v>2491169</v>
          </cell>
          <cell r="O119">
            <v>16057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Medlagfinal_INOFF"/>
      <sheetName val="rxlagfinal_INOFF"/>
      <sheetName val="medlagfinal_INON"/>
      <sheetName val="rxlagfinal_INON"/>
      <sheetName val="medlagfinal_SGOFF"/>
      <sheetName val="rxlagfinal_SGOFF"/>
      <sheetName val="medlagfinal_SGON"/>
      <sheetName val="rxlagfinal_SGON"/>
    </sheetNames>
    <sheetDataSet>
      <sheetData sheetId="0">
        <row r="38">
          <cell r="D38">
            <v>329052434.61000001</v>
          </cell>
          <cell r="E38">
            <v>1091898.3600000001</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row r="5">
          <cell r="E5">
            <v>201162067.83516055</v>
          </cell>
          <cell r="K5">
            <v>736393.43108084006</v>
          </cell>
        </row>
        <row r="6">
          <cell r="K6">
            <v>0</v>
          </cell>
        </row>
        <row r="7">
          <cell r="K7">
            <v>0</v>
          </cell>
        </row>
        <row r="25">
          <cell r="E25">
            <v>0</v>
          </cell>
          <cell r="K25">
            <v>0</v>
          </cell>
        </row>
        <row r="26">
          <cell r="E26">
            <v>71294</v>
          </cell>
          <cell r="K26">
            <v>351</v>
          </cell>
        </row>
        <row r="27">
          <cell r="E27">
            <v>1301960</v>
          </cell>
          <cell r="K27">
            <v>6501</v>
          </cell>
        </row>
        <row r="28">
          <cell r="E28">
            <v>0</v>
          </cell>
          <cell r="K28">
            <v>0</v>
          </cell>
        </row>
        <row r="30">
          <cell r="E30">
            <v>0</v>
          </cell>
          <cell r="K30">
            <v>0</v>
          </cell>
        </row>
        <row r="31">
          <cell r="E31">
            <v>3710591</v>
          </cell>
          <cell r="K31">
            <v>18492</v>
          </cell>
        </row>
        <row r="32">
          <cell r="E32">
            <v>0</v>
          </cell>
          <cell r="K32">
            <v>0</v>
          </cell>
        </row>
        <row r="34">
          <cell r="E34">
            <v>1890452</v>
          </cell>
          <cell r="K34">
            <v>9313</v>
          </cell>
        </row>
        <row r="35">
          <cell r="E35">
            <v>5789336.5199999996</v>
          </cell>
          <cell r="K35">
            <v>8948.24</v>
          </cell>
        </row>
        <row r="37">
          <cell r="E37">
            <v>444276</v>
          </cell>
          <cell r="K37">
            <v>2190</v>
          </cell>
        </row>
        <row r="38">
          <cell r="E38">
            <v>398248</v>
          </cell>
          <cell r="K38">
            <v>1963</v>
          </cell>
        </row>
        <row r="39">
          <cell r="E39">
            <v>620092</v>
          </cell>
          <cell r="K39">
            <v>3054</v>
          </cell>
        </row>
        <row r="40">
          <cell r="E40">
            <v>359406</v>
          </cell>
          <cell r="K40">
            <v>1771</v>
          </cell>
        </row>
        <row r="41">
          <cell r="E41">
            <v>127307</v>
          </cell>
          <cell r="K41">
            <v>627</v>
          </cell>
        </row>
        <row r="42">
          <cell r="E42">
            <v>0</v>
          </cell>
          <cell r="K42">
            <v>0</v>
          </cell>
        </row>
        <row r="60">
          <cell r="E60">
            <v>38607.833333333336</v>
          </cell>
        </row>
      </sheetData>
      <sheetData sheetId="2" refreshError="1">
        <row r="6">
          <cell r="E6">
            <v>0</v>
          </cell>
        </row>
        <row r="7">
          <cell r="E7">
            <v>0</v>
          </cell>
        </row>
        <row r="15">
          <cell r="E15">
            <v>33097630</v>
          </cell>
        </row>
        <row r="16">
          <cell r="E16">
            <v>-6160779</v>
          </cell>
          <cell r="K16">
            <v>-96974</v>
          </cell>
        </row>
        <row r="17">
          <cell r="E17">
            <v>7114431.8351605488</v>
          </cell>
          <cell r="K17">
            <v>-1019.5689191599631</v>
          </cell>
        </row>
      </sheetData>
      <sheetData sheetId="3" refreshError="1">
        <row r="9">
          <cell r="E9">
            <v>33097630</v>
          </cell>
          <cell r="J9">
            <v>0</v>
          </cell>
        </row>
        <row r="10">
          <cell r="E10">
            <v>-6160779</v>
          </cell>
          <cell r="J10">
            <v>-96974</v>
          </cell>
        </row>
        <row r="11">
          <cell r="E11">
            <v>7114431.8351605488</v>
          </cell>
          <cell r="J11">
            <v>-1019.5689191599631</v>
          </cell>
        </row>
        <row r="49">
          <cell r="D49">
            <v>0.8</v>
          </cell>
          <cell r="J49">
            <v>0.8</v>
          </cell>
        </row>
        <row r="55">
          <cell r="D55">
            <v>0</v>
          </cell>
        </row>
      </sheetData>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9">
          <cell r="D9">
            <v>12425229.71705679</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12">
          <cell r="D12">
            <v>77607611.019199967</v>
          </cell>
          <cell r="E12">
            <v>56907.759250000046</v>
          </cell>
        </row>
        <row r="13">
          <cell r="D13">
            <v>76957354.43629548</v>
          </cell>
          <cell r="E13">
            <v>28245.062447853859</v>
          </cell>
        </row>
      </sheetData>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0">
          <cell r="K60">
            <v>189.75</v>
          </cell>
        </row>
      </sheetData>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row r="12">
          <cell r="I12">
            <v>190598293.516</v>
          </cell>
          <cell r="O12">
            <v>500274.484</v>
          </cell>
        </row>
        <row r="22">
          <cell r="I22">
            <v>0</v>
          </cell>
          <cell r="O22">
            <v>0</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120" zoomScaleNormal="12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183</v>
      </c>
    </row>
    <row r="13" spans="1:6" x14ac:dyDescent="0.2">
      <c r="B13" s="147" t="s">
        <v>50</v>
      </c>
      <c r="C13" s="480" t="s">
        <v>183</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K12" sqref="K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288987675</v>
      </c>
      <c r="E5" s="212">
        <f>+'Pt 2 Premium and Claims'!E5+'Pt 2 Premium and Claims'!E6-'Pt 2 Premium and Claims'!E7-'Pt 2 Premium and Claims'!E13+'Pt 2 Premium and Claims'!E14+'Pt 2 Premium and Claims'!E15+'Pt 2 Premium and Claims'!E16+'Pt 2 Premium and Claims'!E17</f>
        <v>289293117</v>
      </c>
      <c r="F5" s="212">
        <f>+'Pt 2 Premium and Claims'!F5+'Pt 2 Premium and Claims'!F6-'Pt 2 Premium and Claims'!F7-'Pt 2 Premium and Claims'!F13+'Pt 2 Premium and Claims'!F14+'Pt 2 Premium and Claims'!F15+'Pt 2 Premium and Claims'!F16+'Pt 2 Premium and Claims'!F17</f>
        <v>0</v>
      </c>
      <c r="G5" s="212">
        <f>+'Pt 2 Premium and Claims'!G5+'Pt 2 Premium and Claims'!G6-'Pt 2 Premium and Claims'!G7-'Pt 2 Premium and Claims'!G13+'Pt 2 Premium and Claims'!G14+'Pt 2 Premium and Claims'!G15+'Pt 2 Premium and Claims'!G16+'Pt 2 Premium and Claims'!G17</f>
        <v>0</v>
      </c>
      <c r="H5" s="212">
        <f>+'Pt 2 Premium and Claims'!H5+'Pt 2 Premium and Claims'!H6-'Pt 2 Premium and Claims'!H7-'Pt 2 Premium and Claims'!H13+'Pt 2 Premium and Claims'!H14+'Pt 2 Premium and Claims'!H15+'Pt 2 Premium and Claims'!H16+'Pt 2 Premium and Claims'!H17</f>
        <v>0</v>
      </c>
      <c r="I5" s="212">
        <f>+'Pt 2 Premium and Claims'!I5+'Pt 2 Premium and Claims'!I6-'Pt 2 Premium and Claims'!I7-'Pt 2 Premium and Claims'!I13+'Pt 2 Premium and Claims'!I14+'Pt 2 Premium and Claims'!I15+'Pt 2 Premium and Claims'!I16+'Pt 2 Premium and Claims'!I17</f>
        <v>289293117</v>
      </c>
      <c r="J5" s="212">
        <f>+'Pt 2 Premium and Claims'!J5+'Pt 2 Premium and Claims'!J6-'Pt 2 Premium and Claims'!J7-'Pt 2 Premium and Claims'!J13+'Pt 2 Premium and Claims'!J14+'Pt 2 Premium and Claims'!J15+'Pt 2 Premium and Claims'!J16+'Pt 2 Premium and Claims'!J17</f>
        <v>1957309</v>
      </c>
      <c r="K5" s="212">
        <f>+'Pt 2 Premium and Claims'!K5+'Pt 2 Premium and Claims'!K6-'Pt 2 Premium and Claims'!K7-'Pt 2 Premium and Claims'!K13+'Pt 2 Premium and Claims'!K14+'Pt 2 Premium and Claims'!K15+'Pt 2 Premium and Claims'!K16+'Pt 2 Premium and Claims'!K17</f>
        <v>1498978</v>
      </c>
      <c r="L5" s="212">
        <f>+'Pt 2 Premium and Claims'!L5+'Pt 2 Premium and Claims'!L6-'Pt 2 Premium and Claims'!L7-'Pt 2 Premium and Claims'!L13+'Pt 2 Premium and Claims'!L14+'Pt 2 Premium and Claims'!L15+'Pt 2 Premium and Claims'!L16+'Pt 2 Premium and Claims'!L17</f>
        <v>0</v>
      </c>
      <c r="M5" s="212">
        <f>+'Pt 2 Premium and Claims'!M5+'Pt 2 Premium and Claims'!M6-'Pt 2 Premium and Claims'!M7-'Pt 2 Premium and Claims'!M13+'Pt 2 Premium and Claims'!M14+'Pt 2 Premium and Claims'!M15+'Pt 2 Premium and Claims'!M16+'Pt 2 Premium and Claims'!M17</f>
        <v>0</v>
      </c>
      <c r="N5" s="212">
        <f>+'Pt 2 Premium and Claims'!N5+'Pt 2 Premium and Claims'!N6-'Pt 2 Premium and Claims'!N7-'Pt 2 Premium and Claims'!N13+'Pt 2 Premium and Claims'!N14+'Pt 2 Premium and Claims'!N15+'Pt 2 Premium and Claims'!N16+'Pt 2 Premium and Claims'!N17</f>
        <v>0</v>
      </c>
      <c r="O5" s="212">
        <f>+'Pt 2 Premium and Claims'!O5+'Pt 2 Premium and Claims'!O6-'Pt 2 Premium and Claims'!O7-'Pt 2 Premium and Claims'!O13+'Pt 2 Premium and Claims'!O14+'Pt 2 Premium and Claims'!O15+'Pt 2 Premium and Claims'!O16+'Pt 2 Premium and Claims'!O17</f>
        <v>1498978</v>
      </c>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v>0</v>
      </c>
      <c r="E6" s="217"/>
      <c r="F6" s="217"/>
      <c r="G6" s="218"/>
      <c r="H6" s="218"/>
      <c r="I6" s="219">
        <f>+E6</f>
        <v>0</v>
      </c>
      <c r="J6" s="216">
        <v>0</v>
      </c>
      <c r="K6" s="217"/>
      <c r="L6" s="217"/>
      <c r="M6" s="218"/>
      <c r="N6" s="218"/>
      <c r="O6" s="219">
        <f>+K6</f>
        <v>0</v>
      </c>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9">
        <f>+E7</f>
        <v>0</v>
      </c>
      <c r="J7" s="216">
        <v>0</v>
      </c>
      <c r="K7" s="217"/>
      <c r="L7" s="217"/>
      <c r="M7" s="217"/>
      <c r="N7" s="217"/>
      <c r="O7" s="219">
        <f>+K7</f>
        <v>0</v>
      </c>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485">
        <f>-'[1]B - Income Statement'!$N$9</f>
        <v>-3571373</v>
      </c>
      <c r="E8" s="268"/>
      <c r="F8" s="269"/>
      <c r="G8" s="269"/>
      <c r="H8" s="269"/>
      <c r="I8" s="272"/>
      <c r="J8" s="397">
        <f>+'[1]B - Income Statement'!$O$9</f>
        <v>26723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366831938.67000002</v>
      </c>
      <c r="E12" s="212">
        <f>+'Pt 2 Premium and Claims'!E54</f>
        <v>361029515.61000001</v>
      </c>
      <c r="F12" s="212">
        <f>+'Pt 2 Premium and Claims'!F54</f>
        <v>0</v>
      </c>
      <c r="G12" s="212">
        <f>+'Pt 2 Premium and Claims'!G54</f>
        <v>0</v>
      </c>
      <c r="H12" s="212">
        <f>+'Pt 2 Premium and Claims'!H54</f>
        <v>0</v>
      </c>
      <c r="I12" s="212">
        <f>+'Pt 2 Premium and Claims'!I54</f>
        <v>361029515.61000001</v>
      </c>
      <c r="J12" s="212">
        <f>+'Pt 2 Premium and Claims'!J54</f>
        <v>1341828.76</v>
      </c>
      <c r="K12" s="212">
        <f>+'Pt 2 Premium and Claims'!K54</f>
        <v>1179714.3600000001</v>
      </c>
      <c r="L12" s="212">
        <f>+'Pt 2 Premium and Claims'!L54</f>
        <v>0</v>
      </c>
      <c r="M12" s="212">
        <f>+'Pt 2 Premium and Claims'!M54</f>
        <v>0</v>
      </c>
      <c r="N12" s="212">
        <f>+'Pt 2 Premium and Claims'!N54</f>
        <v>0</v>
      </c>
      <c r="O12" s="212">
        <f>+'Pt 2 Premium and Claims'!O54</f>
        <v>1179714.3600000001</v>
      </c>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96736324</v>
      </c>
      <c r="E13" s="217">
        <f>+D13</f>
        <v>96736324</v>
      </c>
      <c r="F13" s="217"/>
      <c r="G13" s="268"/>
      <c r="H13" s="269"/>
      <c r="I13" s="216">
        <f>+E13</f>
        <v>96736324</v>
      </c>
      <c r="J13" s="216">
        <v>668494</v>
      </c>
      <c r="K13" s="217">
        <f>+J13</f>
        <v>668494</v>
      </c>
      <c r="L13" s="217"/>
      <c r="M13" s="268"/>
      <c r="N13" s="269"/>
      <c r="O13" s="219">
        <f t="shared" ref="O13:O15" si="0">+K13</f>
        <v>668494</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3620596</v>
      </c>
      <c r="E14" s="217">
        <f>+D14</f>
        <v>3620596</v>
      </c>
      <c r="F14" s="217"/>
      <c r="G14" s="267"/>
      <c r="H14" s="270"/>
      <c r="I14" s="397">
        <f>+E14</f>
        <v>3620596</v>
      </c>
      <c r="J14" s="216">
        <v>0</v>
      </c>
      <c r="K14" s="217">
        <f>+J14</f>
        <v>0</v>
      </c>
      <c r="L14" s="217"/>
      <c r="M14" s="267"/>
      <c r="N14" s="270"/>
      <c r="O14" s="219">
        <f t="shared" si="0"/>
        <v>0</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f>+D15</f>
        <v>0</v>
      </c>
      <c r="F15" s="217"/>
      <c r="G15" s="267"/>
      <c r="H15" s="273"/>
      <c r="I15" s="397">
        <f>+E15</f>
        <v>0</v>
      </c>
      <c r="J15" s="216">
        <v>0</v>
      </c>
      <c r="K15" s="217">
        <f>+J15</f>
        <v>0</v>
      </c>
      <c r="L15" s="217"/>
      <c r="M15" s="267"/>
      <c r="N15" s="273"/>
      <c r="O15" s="219">
        <f t="shared" si="0"/>
        <v>0</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-38437918</v>
      </c>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-3324940</v>
      </c>
      <c r="E17" s="267"/>
      <c r="F17" s="270"/>
      <c r="G17" s="270"/>
      <c r="H17" s="270"/>
      <c r="I17" s="271"/>
      <c r="J17" s="216">
        <v>-85749</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f>+'Pt 2 Premium and Claims'!D55</f>
        <v>0</v>
      </c>
      <c r="E22" s="399">
        <f>+'Pt 2 Premium and Claims'!E55</f>
        <v>0</v>
      </c>
      <c r="F22" s="399">
        <f>+'Pt 2 Premium and Claims'!F55</f>
        <v>0</v>
      </c>
      <c r="G22" s="399">
        <f>+'Pt 2 Premium and Claims'!G55</f>
        <v>0</v>
      </c>
      <c r="H22" s="399">
        <f>+'Pt 2 Premium and Claims'!H55</f>
        <v>0</v>
      </c>
      <c r="I22" s="399">
        <f>+'Pt 2 Premium and Claims'!I55</f>
        <v>0</v>
      </c>
      <c r="J22" s="399">
        <f>+'Pt 2 Premium and Claims'!J55</f>
        <v>0</v>
      </c>
      <c r="K22" s="399">
        <f>+'Pt 2 Premium and Claims'!K55</f>
        <v>0</v>
      </c>
      <c r="L22" s="399">
        <f>+'Pt 2 Premium and Claims'!L55</f>
        <v>0</v>
      </c>
      <c r="M22" s="399">
        <f>+'Pt 2 Premium and Claims'!M55</f>
        <v>0</v>
      </c>
      <c r="N22" s="399">
        <f>+'Pt 2 Premium and Claims'!N55</f>
        <v>0</v>
      </c>
      <c r="O22" s="399">
        <f>+'Pt 2 Premium and Claims'!O55</f>
        <v>0</v>
      </c>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c r="F25" s="217"/>
      <c r="G25" s="217"/>
      <c r="H25" s="217"/>
      <c r="I25" s="219">
        <f>+E25</f>
        <v>0</v>
      </c>
      <c r="J25" s="216">
        <v>0</v>
      </c>
      <c r="K25" s="217"/>
      <c r="L25" s="217"/>
      <c r="M25" s="217"/>
      <c r="N25" s="217"/>
      <c r="O25" s="219">
        <f t="shared" ref="O25:O28" si="1">+K25</f>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397">
        <f>+'[1]B - Income Statement'!$N$58</f>
        <v>146429</v>
      </c>
      <c r="E26" s="217">
        <v>144880</v>
      </c>
      <c r="F26" s="217"/>
      <c r="G26" s="217"/>
      <c r="H26" s="217"/>
      <c r="I26" s="397">
        <f>+E26</f>
        <v>144880</v>
      </c>
      <c r="J26" s="397">
        <f>+'[1]B - Income Statement'!$O$58</f>
        <v>1014</v>
      </c>
      <c r="K26" s="217">
        <v>1007</v>
      </c>
      <c r="L26" s="217"/>
      <c r="M26" s="217"/>
      <c r="N26" s="217"/>
      <c r="O26" s="219">
        <f t="shared" si="1"/>
        <v>1007</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485">
        <f>+'[1]B - Income Statement'!$N$59</f>
        <v>1306741</v>
      </c>
      <c r="E27" s="217">
        <f>+D27</f>
        <v>1306741</v>
      </c>
      <c r="F27" s="217"/>
      <c r="G27" s="217"/>
      <c r="H27" s="217"/>
      <c r="I27" s="397">
        <f>+E27</f>
        <v>1306741</v>
      </c>
      <c r="J27" s="485">
        <f>+'[1]B - Income Statement'!$O$59</f>
        <v>6513</v>
      </c>
      <c r="K27" s="217">
        <f>+J27</f>
        <v>6513</v>
      </c>
      <c r="L27" s="217"/>
      <c r="M27" s="217"/>
      <c r="N27" s="217"/>
      <c r="O27" s="219">
        <f t="shared" si="1"/>
        <v>6513</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9">
        <f>+E28</f>
        <v>0</v>
      </c>
      <c r="J28" s="216"/>
      <c r="K28" s="217"/>
      <c r="L28" s="217"/>
      <c r="M28" s="217"/>
      <c r="N28" s="217"/>
      <c r="O28" s="219">
        <f t="shared" si="1"/>
        <v>0</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f>+D30</f>
        <v>0</v>
      </c>
      <c r="F30" s="217"/>
      <c r="G30" s="217"/>
      <c r="H30" s="217"/>
      <c r="I30" s="219">
        <f t="shared" ref="I30:I32" si="2">+E30</f>
        <v>0</v>
      </c>
      <c r="J30" s="216">
        <v>0</v>
      </c>
      <c r="K30" s="217">
        <f>+J30</f>
        <v>0</v>
      </c>
      <c r="L30" s="217"/>
      <c r="M30" s="217"/>
      <c r="N30" s="217"/>
      <c r="O30" s="219">
        <f t="shared" ref="O30:O32" si="3">+K30</f>
        <v>0</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397">
        <f>+'[1]B - Income Statement'!$N$118+'[1]B - Income Statement'!$N$119</f>
        <v>5875909</v>
      </c>
      <c r="E31" s="398">
        <f>+D31</f>
        <v>5875909</v>
      </c>
      <c r="F31" s="217"/>
      <c r="G31" s="217"/>
      <c r="H31" s="217"/>
      <c r="I31" s="219">
        <f t="shared" si="2"/>
        <v>5875909</v>
      </c>
      <c r="J31" s="397">
        <f>+'[1]B - Income Statement'!$O$118+'[1]B - Income Statement'!$O$119</f>
        <v>37874</v>
      </c>
      <c r="K31" s="398">
        <f t="shared" ref="K31:K32" si="4">+J31</f>
        <v>37874</v>
      </c>
      <c r="L31" s="217"/>
      <c r="M31" s="217"/>
      <c r="N31" s="217"/>
      <c r="O31" s="219">
        <f t="shared" si="3"/>
        <v>37874</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398">
        <f>+D32</f>
        <v>0</v>
      </c>
      <c r="F32" s="217"/>
      <c r="G32" s="217"/>
      <c r="H32" s="217"/>
      <c r="I32" s="219">
        <f t="shared" si="2"/>
        <v>0</v>
      </c>
      <c r="J32" s="216">
        <v>0</v>
      </c>
      <c r="K32" s="398">
        <f t="shared" si="4"/>
        <v>0</v>
      </c>
      <c r="L32" s="217"/>
      <c r="M32" s="217"/>
      <c r="N32" s="217"/>
      <c r="O32" s="219">
        <f t="shared" si="3"/>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397">
        <f>+'[1]B - Income Statement'!$N$10</f>
        <v>2636354</v>
      </c>
      <c r="E34" s="398">
        <f>+D34</f>
        <v>2636354</v>
      </c>
      <c r="F34" s="217"/>
      <c r="G34" s="217"/>
      <c r="H34" s="217"/>
      <c r="I34" s="219">
        <f t="shared" ref="I34:I35" si="5">+E34</f>
        <v>2636354</v>
      </c>
      <c r="J34" s="397">
        <f>+'[1]B - Income Statement'!$O$10</f>
        <v>18716</v>
      </c>
      <c r="K34" s="398">
        <f t="shared" ref="K34:K35" si="6">+J34</f>
        <v>18716</v>
      </c>
      <c r="L34" s="217"/>
      <c r="M34" s="217"/>
      <c r="N34" s="217"/>
      <c r="O34" s="219">
        <f t="shared" ref="O34:O35" si="7">+K34</f>
        <v>18716</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485">
        <f>+'[1]B - Income Statement'!$N$57+'[1]B - Income Statement'!$N$50+'[1]B - Income Statement'!$N$60</f>
        <v>9416334</v>
      </c>
      <c r="E35" s="398">
        <f>+D35</f>
        <v>9416334</v>
      </c>
      <c r="F35" s="217"/>
      <c r="G35" s="217"/>
      <c r="H35" s="217"/>
      <c r="I35" s="219">
        <f t="shared" si="5"/>
        <v>9416334</v>
      </c>
      <c r="J35" s="485">
        <f>+'[1]B - Income Statement'!$O$50</f>
        <v>202</v>
      </c>
      <c r="K35" s="398">
        <f t="shared" si="6"/>
        <v>202</v>
      </c>
      <c r="L35" s="217"/>
      <c r="M35" s="217"/>
      <c r="N35" s="217"/>
      <c r="O35" s="219">
        <f t="shared" si="7"/>
        <v>202</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224">
        <v>644001</v>
      </c>
      <c r="E37" s="398">
        <f t="shared" ref="E37:E42" si="8">+D37</f>
        <v>644001</v>
      </c>
      <c r="F37" s="225"/>
      <c r="G37" s="225"/>
      <c r="H37" s="225"/>
      <c r="I37" s="219">
        <f t="shared" ref="I37:I42" si="9">+E37</f>
        <v>644001</v>
      </c>
      <c r="J37" s="224">
        <v>4479</v>
      </c>
      <c r="K37" s="398">
        <f t="shared" ref="K37:K42" si="10">+J37</f>
        <v>4479</v>
      </c>
      <c r="L37" s="225"/>
      <c r="M37" s="225"/>
      <c r="N37" s="225"/>
      <c r="O37" s="219">
        <f t="shared" ref="O37:O42" si="11">+K37</f>
        <v>4479</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524172</v>
      </c>
      <c r="E38" s="398">
        <f t="shared" si="8"/>
        <v>524172</v>
      </c>
      <c r="F38" s="217"/>
      <c r="G38" s="217"/>
      <c r="H38" s="217"/>
      <c r="I38" s="219">
        <f t="shared" si="9"/>
        <v>524172</v>
      </c>
      <c r="J38" s="216">
        <v>3646</v>
      </c>
      <c r="K38" s="398">
        <f t="shared" si="10"/>
        <v>3646</v>
      </c>
      <c r="L38" s="217"/>
      <c r="M38" s="217"/>
      <c r="N38" s="217"/>
      <c r="O38" s="219">
        <f t="shared" si="11"/>
        <v>3646</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573778</v>
      </c>
      <c r="E39" s="398">
        <f t="shared" si="8"/>
        <v>573778</v>
      </c>
      <c r="F39" s="217"/>
      <c r="G39" s="217"/>
      <c r="H39" s="217"/>
      <c r="I39" s="219">
        <f t="shared" si="9"/>
        <v>573778</v>
      </c>
      <c r="J39" s="216">
        <v>3991</v>
      </c>
      <c r="K39" s="398">
        <f t="shared" si="10"/>
        <v>3991</v>
      </c>
      <c r="L39" s="217"/>
      <c r="M39" s="217"/>
      <c r="N39" s="217"/>
      <c r="O39" s="219">
        <f t="shared" si="11"/>
        <v>3991</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478769</v>
      </c>
      <c r="E40" s="398">
        <f t="shared" si="8"/>
        <v>478769</v>
      </c>
      <c r="F40" s="217"/>
      <c r="G40" s="217"/>
      <c r="H40" s="217"/>
      <c r="I40" s="219">
        <f t="shared" si="9"/>
        <v>478769</v>
      </c>
      <c r="J40" s="216">
        <v>3329</v>
      </c>
      <c r="K40" s="398">
        <f t="shared" si="10"/>
        <v>3329</v>
      </c>
      <c r="L40" s="217"/>
      <c r="M40" s="217"/>
      <c r="N40" s="217"/>
      <c r="O40" s="219">
        <f t="shared" si="11"/>
        <v>3329</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152950</v>
      </c>
      <c r="E41" s="398">
        <f t="shared" si="8"/>
        <v>152950</v>
      </c>
      <c r="F41" s="217"/>
      <c r="G41" s="217"/>
      <c r="H41" s="217"/>
      <c r="I41" s="219">
        <f t="shared" si="9"/>
        <v>152950</v>
      </c>
      <c r="J41" s="216">
        <v>1064</v>
      </c>
      <c r="K41" s="398">
        <f t="shared" si="10"/>
        <v>1064</v>
      </c>
      <c r="L41" s="217"/>
      <c r="M41" s="217"/>
      <c r="N41" s="217"/>
      <c r="O41" s="219">
        <f t="shared" si="11"/>
        <v>1064</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398">
        <f t="shared" si="8"/>
        <v>0</v>
      </c>
      <c r="F42" s="217"/>
      <c r="G42" s="217"/>
      <c r="H42" s="217"/>
      <c r="I42" s="219">
        <f t="shared" si="9"/>
        <v>0</v>
      </c>
      <c r="J42" s="216">
        <v>0</v>
      </c>
      <c r="K42" s="398">
        <f t="shared" si="10"/>
        <v>0</v>
      </c>
      <c r="L42" s="217"/>
      <c r="M42" s="217"/>
      <c r="N42" s="217"/>
      <c r="O42" s="219">
        <f t="shared" si="11"/>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25" thickTop="1" x14ac:dyDescent="0.2">
      <c r="B44" s="244" t="s">
        <v>260</v>
      </c>
      <c r="C44" s="202" t="s">
        <v>18</v>
      </c>
      <c r="D44" s="224">
        <v>8146827</v>
      </c>
      <c r="E44" s="398">
        <f t="shared" ref="E44:E47" si="12">+D44</f>
        <v>8146827</v>
      </c>
      <c r="F44" s="225"/>
      <c r="G44" s="225"/>
      <c r="H44" s="225"/>
      <c r="I44" s="219">
        <f t="shared" ref="I44:I47" si="13">+E44</f>
        <v>8146827</v>
      </c>
      <c r="J44" s="224">
        <v>56660</v>
      </c>
      <c r="K44" s="398">
        <f t="shared" ref="K44:K47" si="14">+J44</f>
        <v>56660</v>
      </c>
      <c r="L44" s="225"/>
      <c r="M44" s="225"/>
      <c r="N44" s="225"/>
      <c r="O44" s="219">
        <f t="shared" ref="O44:O47" si="15">+K44</f>
        <v>56660</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11100288</v>
      </c>
      <c r="E45" s="398">
        <f t="shared" si="12"/>
        <v>11100288</v>
      </c>
      <c r="F45" s="217"/>
      <c r="G45" s="217"/>
      <c r="H45" s="217"/>
      <c r="I45" s="219">
        <f t="shared" si="13"/>
        <v>11100288</v>
      </c>
      <c r="J45" s="216">
        <v>77201</v>
      </c>
      <c r="K45" s="398">
        <f t="shared" si="14"/>
        <v>77201</v>
      </c>
      <c r="L45" s="217"/>
      <c r="M45" s="217"/>
      <c r="N45" s="217"/>
      <c r="O45" s="219">
        <f t="shared" si="15"/>
        <v>77201</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398">
        <f t="shared" si="12"/>
        <v>0</v>
      </c>
      <c r="F46" s="217"/>
      <c r="G46" s="217"/>
      <c r="H46" s="217"/>
      <c r="I46" s="219">
        <f t="shared" si="13"/>
        <v>0</v>
      </c>
      <c r="J46" s="216">
        <v>0</v>
      </c>
      <c r="K46" s="398">
        <f t="shared" si="14"/>
        <v>0</v>
      </c>
      <c r="L46" s="217"/>
      <c r="M46" s="217"/>
      <c r="N46" s="217"/>
      <c r="O46" s="219">
        <f t="shared" si="15"/>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f>+'[1]B - Income Statement'!$N$51</f>
        <v>11408958</v>
      </c>
      <c r="E47" s="398">
        <f t="shared" si="12"/>
        <v>11408958</v>
      </c>
      <c r="F47" s="217"/>
      <c r="G47" s="217"/>
      <c r="H47" s="217"/>
      <c r="I47" s="219">
        <f t="shared" si="13"/>
        <v>11408958</v>
      </c>
      <c r="J47" s="216">
        <f>+'[1]B - Income Statement'!$O$51</f>
        <v>80426</v>
      </c>
      <c r="K47" s="398">
        <f t="shared" si="14"/>
        <v>80426</v>
      </c>
      <c r="L47" s="217"/>
      <c r="M47" s="217"/>
      <c r="N47" s="217"/>
      <c r="O47" s="219">
        <f t="shared" si="15"/>
        <v>80426</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403190</v>
      </c>
      <c r="E49" s="398">
        <f>+D49</f>
        <v>403190</v>
      </c>
      <c r="F49" s="217"/>
      <c r="G49" s="217"/>
      <c r="H49" s="217"/>
      <c r="I49" s="219">
        <f t="shared" ref="I49:I53" si="16">+E49</f>
        <v>403190</v>
      </c>
      <c r="J49" s="216">
        <v>2804</v>
      </c>
      <c r="K49" s="398">
        <f t="shared" ref="K49:K53" si="17">+J49</f>
        <v>2804</v>
      </c>
      <c r="L49" s="217"/>
      <c r="M49" s="217"/>
      <c r="N49" s="217"/>
      <c r="O49" s="219">
        <f t="shared" ref="O49:O53" si="18">+K49</f>
        <v>2804</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9">
        <f t="shared" si="16"/>
        <v>0</v>
      </c>
      <c r="J50" s="216"/>
      <c r="K50" s="398">
        <f t="shared" si="17"/>
        <v>0</v>
      </c>
      <c r="L50" s="217"/>
      <c r="M50" s="217"/>
      <c r="N50" s="217"/>
      <c r="O50" s="219">
        <f t="shared" si="18"/>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f>25879980-D47</f>
        <v>14471022</v>
      </c>
      <c r="E51" s="398">
        <f>+D51</f>
        <v>14471022</v>
      </c>
      <c r="F51" s="217"/>
      <c r="G51" s="217"/>
      <c r="H51" s="217"/>
      <c r="I51" s="219">
        <f t="shared" si="16"/>
        <v>14471022</v>
      </c>
      <c r="J51" s="216">
        <f>179991-J47</f>
        <v>99565</v>
      </c>
      <c r="K51" s="398">
        <f t="shared" si="17"/>
        <v>99565</v>
      </c>
      <c r="L51" s="217"/>
      <c r="M51" s="217"/>
      <c r="N51" s="217"/>
      <c r="O51" s="219">
        <f t="shared" si="18"/>
        <v>99565</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398">
        <f>+D52</f>
        <v>0</v>
      </c>
      <c r="F52" s="217"/>
      <c r="G52" s="217"/>
      <c r="H52" s="217"/>
      <c r="I52" s="219">
        <f t="shared" si="16"/>
        <v>0</v>
      </c>
      <c r="J52" s="216">
        <v>0</v>
      </c>
      <c r="K52" s="398">
        <f t="shared" si="17"/>
        <v>0</v>
      </c>
      <c r="L52" s="217"/>
      <c r="M52" s="217"/>
      <c r="N52" s="217"/>
      <c r="O52" s="219">
        <f t="shared" si="18"/>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398">
        <f>+D53</f>
        <v>0</v>
      </c>
      <c r="F53" s="217"/>
      <c r="G53" s="268"/>
      <c r="H53" s="268"/>
      <c r="I53" s="219">
        <f t="shared" si="16"/>
        <v>0</v>
      </c>
      <c r="J53" s="216">
        <v>0</v>
      </c>
      <c r="K53" s="398">
        <f t="shared" si="17"/>
        <v>0</v>
      </c>
      <c r="L53" s="217"/>
      <c r="M53" s="268"/>
      <c r="N53" s="268"/>
      <c r="O53" s="219">
        <f t="shared" si="18"/>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v>59444</v>
      </c>
      <c r="E56" s="404">
        <f>+D56</f>
        <v>59444</v>
      </c>
      <c r="F56" s="229"/>
      <c r="G56" s="229"/>
      <c r="H56" s="229"/>
      <c r="I56" s="228">
        <f>+E56</f>
        <v>59444</v>
      </c>
      <c r="J56" s="228">
        <v>288</v>
      </c>
      <c r="K56" s="404">
        <f>+J56</f>
        <v>288</v>
      </c>
      <c r="L56" s="229"/>
      <c r="M56" s="229"/>
      <c r="N56" s="229"/>
      <c r="O56" s="404">
        <f>+K56</f>
        <v>288</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ht="13.5" thickTop="1" x14ac:dyDescent="0.2">
      <c r="B57" s="245" t="s">
        <v>272</v>
      </c>
      <c r="C57" s="203" t="s">
        <v>25</v>
      </c>
      <c r="D57" s="231">
        <v>59444</v>
      </c>
      <c r="E57" s="404">
        <f>+D57</f>
        <v>59444</v>
      </c>
      <c r="F57" s="232"/>
      <c r="G57" s="232"/>
      <c r="H57" s="232"/>
      <c r="I57" s="404">
        <f>+E57</f>
        <v>59444</v>
      </c>
      <c r="J57" s="231">
        <v>445</v>
      </c>
      <c r="K57" s="231">
        <f t="shared" ref="K57:K59" si="19">+J57</f>
        <v>445</v>
      </c>
      <c r="L57" s="232"/>
      <c r="M57" s="232"/>
      <c r="N57" s="232"/>
      <c r="O57" s="231">
        <f t="shared" ref="O57:O59" si="20">+K57</f>
        <v>445</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ht="13.5" thickBot="1" x14ac:dyDescent="0.25">
      <c r="B58" s="245" t="s">
        <v>273</v>
      </c>
      <c r="C58" s="203" t="s">
        <v>26</v>
      </c>
      <c r="D58" s="309"/>
      <c r="E58" s="310"/>
      <c r="F58" s="310"/>
      <c r="G58" s="310"/>
      <c r="H58" s="310"/>
      <c r="I58" s="309"/>
      <c r="J58" s="231">
        <v>288</v>
      </c>
      <c r="K58" s="231">
        <f t="shared" si="19"/>
        <v>288</v>
      </c>
      <c r="L58" s="232"/>
      <c r="M58" s="232"/>
      <c r="N58" s="232"/>
      <c r="O58" s="231">
        <f t="shared" si="20"/>
        <v>288</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ht="13.5" thickTop="1" x14ac:dyDescent="0.2">
      <c r="B59" s="245" t="s">
        <v>274</v>
      </c>
      <c r="C59" s="203" t="s">
        <v>27</v>
      </c>
      <c r="D59" s="231">
        <v>810658</v>
      </c>
      <c r="E59" s="231">
        <f>+D59</f>
        <v>810658</v>
      </c>
      <c r="F59" s="232"/>
      <c r="G59" s="232"/>
      <c r="H59" s="232"/>
      <c r="I59" s="404">
        <f>+E59</f>
        <v>810658</v>
      </c>
      <c r="J59" s="231">
        <v>5638</v>
      </c>
      <c r="K59" s="231">
        <f t="shared" si="19"/>
        <v>5638</v>
      </c>
      <c r="L59" s="232"/>
      <c r="M59" s="232"/>
      <c r="N59" s="232"/>
      <c r="O59" s="231">
        <f t="shared" si="20"/>
        <v>5638</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67554.833333333328</v>
      </c>
      <c r="E60" s="234">
        <f t="shared" ref="E60:O60" si="21">+E59/12</f>
        <v>67554.833333333328</v>
      </c>
      <c r="F60" s="234">
        <f t="shared" si="21"/>
        <v>0</v>
      </c>
      <c r="G60" s="234">
        <f t="shared" si="21"/>
        <v>0</v>
      </c>
      <c r="H60" s="234">
        <f t="shared" si="21"/>
        <v>0</v>
      </c>
      <c r="I60" s="234">
        <f t="shared" si="21"/>
        <v>67554.833333333328</v>
      </c>
      <c r="J60" s="234">
        <f t="shared" si="21"/>
        <v>469.83333333333331</v>
      </c>
      <c r="K60" s="234">
        <f t="shared" si="21"/>
        <v>469.83333333333331</v>
      </c>
      <c r="L60" s="234">
        <f t="shared" si="21"/>
        <v>0</v>
      </c>
      <c r="M60" s="234">
        <f t="shared" si="21"/>
        <v>0</v>
      </c>
      <c r="N60" s="234">
        <f t="shared" si="21"/>
        <v>0</v>
      </c>
      <c r="O60" s="234">
        <f t="shared" si="21"/>
        <v>469.83333333333331</v>
      </c>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H28 D30:H32 D34:H35 D37:H42 D44:H47 D49:H52 J25:N28 J49:J52 J30:N32 J34:N35 J37:N42 J44:N47 L49:N52 P25:AD28 P30:AD32 P34:AD35 P37:AD42 P44:AD47 P49:AD52">
    <cfRule type="cellIs" dxfId="590" priority="50" stopIfTrue="1" operator="lessThan">
      <formula>0</formula>
    </cfRule>
  </conditionalFormatting>
  <conditionalFormatting sqref="AS53">
    <cfRule type="cellIs" dxfId="589" priority="49" stopIfTrue="1" operator="lessThan">
      <formula>0</formula>
    </cfRule>
  </conditionalFormatting>
  <conditionalFormatting sqref="D59 D56:D57 G7:H7 E13:F15 D13:D21 D6:D10 G56:I57 G59:I59">
    <cfRule type="cellIs" dxfId="588" priority="112" stopIfTrue="1" operator="lessThan">
      <formula>0</formula>
    </cfRule>
  </conditionalFormatting>
  <conditionalFormatting sqref="AI34:AI35">
    <cfRule type="cellIs" dxfId="587" priority="67" stopIfTrue="1" operator="lessThan">
      <formula>0</formula>
    </cfRule>
  </conditionalFormatting>
  <conditionalFormatting sqref="AQ56:AR57 AQ59:AR59 AN59 AN56:AN57">
    <cfRule type="cellIs" dxfId="586" priority="17" stopIfTrue="1" operator="lessThan">
      <formula>0</formula>
    </cfRule>
  </conditionalFormatting>
  <conditionalFormatting sqref="M7:N7 J6:J10">
    <cfRule type="cellIs" dxfId="585" priority="109" stopIfTrue="1" operator="lessThan">
      <formula>0</formula>
    </cfRule>
  </conditionalFormatting>
  <conditionalFormatting sqref="S7:T7 P6:P10">
    <cfRule type="cellIs" dxfId="584" priority="107" stopIfTrue="1" operator="lessThan">
      <formula>0</formula>
    </cfRule>
  </conditionalFormatting>
  <conditionalFormatting sqref="U6:U10">
    <cfRule type="cellIs" dxfId="583" priority="106" stopIfTrue="1" operator="lessThan">
      <formula>0</formula>
    </cfRule>
  </conditionalFormatting>
  <conditionalFormatting sqref="X6:X10">
    <cfRule type="cellIs" dxfId="582" priority="105" stopIfTrue="1" operator="lessThan">
      <formula>0</formula>
    </cfRule>
  </conditionalFormatting>
  <conditionalFormatting sqref="AA6:AA10">
    <cfRule type="cellIs" dxfId="581" priority="104" stopIfTrue="1" operator="lessThan">
      <formula>0</formula>
    </cfRule>
  </conditionalFormatting>
  <conditionalFormatting sqref="AD6:AD10">
    <cfRule type="cellIs" dxfId="580" priority="103" stopIfTrue="1" operator="lessThan">
      <formula>0</formula>
    </cfRule>
  </conditionalFormatting>
  <conditionalFormatting sqref="AI6:AI10">
    <cfRule type="cellIs" dxfId="579" priority="102" stopIfTrue="1" operator="lessThan">
      <formula>0</formula>
    </cfRule>
  </conditionalFormatting>
  <conditionalFormatting sqref="AT6:AT10">
    <cfRule type="cellIs" dxfId="578" priority="99" stopIfTrue="1" operator="lessThan">
      <formula>0</formula>
    </cfRule>
  </conditionalFormatting>
  <conditionalFormatting sqref="AS6:AS10">
    <cfRule type="cellIs" dxfId="577" priority="100" stopIfTrue="1" operator="lessThan">
      <formula>0</formula>
    </cfRule>
  </conditionalFormatting>
  <conditionalFormatting sqref="AU6:AU10">
    <cfRule type="cellIs" dxfId="576" priority="98" stopIfTrue="1" operator="lessThan">
      <formula>0</formula>
    </cfRule>
  </conditionalFormatting>
  <conditionalFormatting sqref="I13:I15">
    <cfRule type="cellIs" dxfId="575" priority="97" stopIfTrue="1" operator="lessThan">
      <formula>0</formula>
    </cfRule>
  </conditionalFormatting>
  <conditionalFormatting sqref="K13:L15 J13:J21">
    <cfRule type="cellIs" dxfId="574" priority="96" stopIfTrue="1" operator="lessThan">
      <formula>0</formula>
    </cfRule>
  </conditionalFormatting>
  <conditionalFormatting sqref="V13:V15 U13:U21">
    <cfRule type="cellIs" dxfId="573" priority="93" stopIfTrue="1" operator="lessThan">
      <formula>0</formula>
    </cfRule>
  </conditionalFormatting>
  <conditionalFormatting sqref="W13:W15">
    <cfRule type="cellIs" dxfId="572" priority="92" stopIfTrue="1" operator="lessThan">
      <formula>0</formula>
    </cfRule>
  </conditionalFormatting>
  <conditionalFormatting sqref="Y13:Y15 X13:X21">
    <cfRule type="cellIs" dxfId="571" priority="91" stopIfTrue="1" operator="lessThan">
      <formula>0</formula>
    </cfRule>
  </conditionalFormatting>
  <conditionalFormatting sqref="Z13:Z15">
    <cfRule type="cellIs" dxfId="570" priority="90" stopIfTrue="1" operator="lessThan">
      <formula>0</formula>
    </cfRule>
  </conditionalFormatting>
  <conditionalFormatting sqref="AB13:AB15 AA13:AA21">
    <cfRule type="cellIs" dxfId="569" priority="89" stopIfTrue="1" operator="lessThan">
      <formula>0</formula>
    </cfRule>
  </conditionalFormatting>
  <conditionalFormatting sqref="AC13:AC15">
    <cfRule type="cellIs" dxfId="568" priority="88" stopIfTrue="1" operator="lessThan">
      <formula>0</formula>
    </cfRule>
  </conditionalFormatting>
  <conditionalFormatting sqref="AD13:AD21">
    <cfRule type="cellIs" dxfId="567" priority="87" stopIfTrue="1" operator="lessThan">
      <formula>0</formula>
    </cfRule>
  </conditionalFormatting>
  <conditionalFormatting sqref="AI13:AI21">
    <cfRule type="cellIs" dxfId="566" priority="86" stopIfTrue="1" operator="lessThan">
      <formula>0</formula>
    </cfRule>
  </conditionalFormatting>
  <conditionalFormatting sqref="AT13:AT21">
    <cfRule type="cellIs" dxfId="565" priority="83" stopIfTrue="1" operator="lessThan">
      <formula>0</formula>
    </cfRule>
  </conditionalFormatting>
  <conditionalFormatting sqref="AS13:AS21">
    <cfRule type="cellIs" dxfId="564" priority="84" stopIfTrue="1" operator="lessThan">
      <formula>0</formula>
    </cfRule>
  </conditionalFormatting>
  <conditionalFormatting sqref="AU13:AU21">
    <cfRule type="cellIs" dxfId="563" priority="82" stopIfTrue="1" operator="lessThan">
      <formula>0</formula>
    </cfRule>
  </conditionalFormatting>
  <conditionalFormatting sqref="D53 F53">
    <cfRule type="cellIs" dxfId="562" priority="75" stopIfTrue="1" operator="lessThan">
      <formula>0</formula>
    </cfRule>
  </conditionalFormatting>
  <conditionalFormatting sqref="J53 L53">
    <cfRule type="cellIs" dxfId="561" priority="73" stopIfTrue="1" operator="lessThan">
      <formula>0</formula>
    </cfRule>
  </conditionalFormatting>
  <conditionalFormatting sqref="P53:R53">
    <cfRule type="cellIs" dxfId="560" priority="71" stopIfTrue="1" operator="lessThan">
      <formula>0</formula>
    </cfRule>
  </conditionalFormatting>
  <conditionalFormatting sqref="U53:AD53">
    <cfRule type="cellIs" dxfId="559" priority="70" stopIfTrue="1" operator="lessThan">
      <formula>0</formula>
    </cfRule>
  </conditionalFormatting>
  <conditionalFormatting sqref="AI25:AI28">
    <cfRule type="cellIs" dxfId="558" priority="69" stopIfTrue="1" operator="lessThan">
      <formula>0</formula>
    </cfRule>
  </conditionalFormatting>
  <conditionalFormatting sqref="AI30:AI32">
    <cfRule type="cellIs" dxfId="557" priority="68" stopIfTrue="1" operator="lessThan">
      <formula>0</formula>
    </cfRule>
  </conditionalFormatting>
  <conditionalFormatting sqref="AN25:AR28">
    <cfRule type="cellIs" dxfId="556" priority="66" stopIfTrue="1" operator="lessThan">
      <formula>0</formula>
    </cfRule>
  </conditionalFormatting>
  <conditionalFormatting sqref="AN30:AR32">
    <cfRule type="cellIs" dxfId="555" priority="65" stopIfTrue="1" operator="lessThan">
      <formula>0</formula>
    </cfRule>
  </conditionalFormatting>
  <conditionalFormatting sqref="AN34:AR35">
    <cfRule type="cellIs" dxfId="554" priority="64" stopIfTrue="1" operator="lessThan">
      <formula>0</formula>
    </cfRule>
  </conditionalFormatting>
  <conditionalFormatting sqref="AS25:AV26 AS27:AU27">
    <cfRule type="cellIs" dxfId="553" priority="63" stopIfTrue="1" operator="lessThan">
      <formula>0</formula>
    </cfRule>
  </conditionalFormatting>
  <conditionalFormatting sqref="AS28:AV28">
    <cfRule type="cellIs" dxfId="552" priority="62" stopIfTrue="1" operator="lessThan">
      <formula>0</formula>
    </cfRule>
  </conditionalFormatting>
  <conditionalFormatting sqref="AS30:AV32">
    <cfRule type="cellIs" dxfId="551" priority="61" stopIfTrue="1" operator="lessThan">
      <formula>0</formula>
    </cfRule>
  </conditionalFormatting>
  <conditionalFormatting sqref="AI44:AI47">
    <cfRule type="cellIs" dxfId="550" priority="60" stopIfTrue="1" operator="lessThan">
      <formula>0</formula>
    </cfRule>
  </conditionalFormatting>
  <conditionalFormatting sqref="AI49:AI52">
    <cfRule type="cellIs" dxfId="549" priority="59" stopIfTrue="1" operator="lessThan">
      <formula>0</formula>
    </cfRule>
  </conditionalFormatting>
  <conditionalFormatting sqref="AI53">
    <cfRule type="cellIs" dxfId="548" priority="58" stopIfTrue="1" operator="lessThan">
      <formula>0</formula>
    </cfRule>
  </conditionalFormatting>
  <conditionalFormatting sqref="AI37:AI42">
    <cfRule type="cellIs" dxfId="547" priority="57" stopIfTrue="1" operator="lessThan">
      <formula>0</formula>
    </cfRule>
  </conditionalFormatting>
  <conditionalFormatting sqref="AN37:AR42">
    <cfRule type="cellIs" dxfId="546" priority="56" stopIfTrue="1" operator="lessThan">
      <formula>0</formula>
    </cfRule>
  </conditionalFormatting>
  <conditionalFormatting sqref="AN44:AR47">
    <cfRule type="cellIs" dxfId="545" priority="55" stopIfTrue="1" operator="lessThan">
      <formula>0</formula>
    </cfRule>
  </conditionalFormatting>
  <conditionalFormatting sqref="AN49:AR52">
    <cfRule type="cellIs" dxfId="544" priority="54" stopIfTrue="1" operator="lessThan">
      <formula>0</formula>
    </cfRule>
  </conditionalFormatting>
  <conditionalFormatting sqref="AN53:AP53">
    <cfRule type="cellIs" dxfId="543" priority="53" stopIfTrue="1" operator="lessThan">
      <formula>0</formula>
    </cfRule>
  </conditionalFormatting>
  <conditionalFormatting sqref="AS37:AS42">
    <cfRule type="cellIs" dxfId="542" priority="52" stopIfTrue="1" operator="lessThan">
      <formula>0</formula>
    </cfRule>
  </conditionalFormatting>
  <conditionalFormatting sqref="AS44:AS47">
    <cfRule type="cellIs" dxfId="541" priority="51" stopIfTrue="1" operator="lessThan">
      <formula>0</formula>
    </cfRule>
  </conditionalFormatting>
  <conditionalFormatting sqref="AT37:AT42">
    <cfRule type="cellIs" dxfId="540" priority="48" stopIfTrue="1" operator="lessThan">
      <formula>0</formula>
    </cfRule>
  </conditionalFormatting>
  <conditionalFormatting sqref="AT44:AT47">
    <cfRule type="cellIs" dxfId="539" priority="47" stopIfTrue="1" operator="lessThan">
      <formula>0</formula>
    </cfRule>
  </conditionalFormatting>
  <conditionalFormatting sqref="AT49:AT52">
    <cfRule type="cellIs" dxfId="538" priority="46" stopIfTrue="1" operator="lessThan">
      <formula>0</formula>
    </cfRule>
  </conditionalFormatting>
  <conditionalFormatting sqref="AT53">
    <cfRule type="cellIs" dxfId="537" priority="45" stopIfTrue="1" operator="lessThan">
      <formula>0</formula>
    </cfRule>
  </conditionalFormatting>
  <conditionalFormatting sqref="AU37:AU42">
    <cfRule type="cellIs" dxfId="536" priority="44" stopIfTrue="1" operator="lessThan">
      <formula>0</formula>
    </cfRule>
  </conditionalFormatting>
  <conditionalFormatting sqref="AU44:AU47">
    <cfRule type="cellIs" dxfId="535" priority="43" stopIfTrue="1" operator="lessThan">
      <formula>0</formula>
    </cfRule>
  </conditionalFormatting>
  <conditionalFormatting sqref="AU49:AU52">
    <cfRule type="cellIs" dxfId="534" priority="42" stopIfTrue="1" operator="lessThan">
      <formula>0</formula>
    </cfRule>
  </conditionalFormatting>
  <conditionalFormatting sqref="AU53">
    <cfRule type="cellIs" dxfId="533" priority="41" stopIfTrue="1" operator="lessThan">
      <formula>0</formula>
    </cfRule>
  </conditionalFormatting>
  <conditionalFormatting sqref="AV37:AV42">
    <cfRule type="cellIs" dxfId="532" priority="40" stopIfTrue="1" operator="lessThan">
      <formula>0</formula>
    </cfRule>
  </conditionalFormatting>
  <conditionalFormatting sqref="AV44:AV47">
    <cfRule type="cellIs" dxfId="531" priority="39" stopIfTrue="1" operator="lessThan">
      <formula>0</formula>
    </cfRule>
  </conditionalFormatting>
  <conditionalFormatting sqref="AV49:AV52">
    <cfRule type="cellIs" dxfId="530" priority="38" stopIfTrue="1" operator="lessThan">
      <formula>0</formula>
    </cfRule>
  </conditionalFormatting>
  <conditionalFormatting sqref="AV53">
    <cfRule type="cellIs" dxfId="529" priority="37" stopIfTrue="1" operator="lessThan">
      <formula>0</formula>
    </cfRule>
  </conditionalFormatting>
  <conditionalFormatting sqref="AS35:AV35">
    <cfRule type="cellIs" dxfId="528" priority="36" stopIfTrue="1" operator="lessThan">
      <formula>0</formula>
    </cfRule>
  </conditionalFormatting>
  <conditionalFormatting sqref="AV34">
    <cfRule type="cellIs" dxfId="527" priority="35" stopIfTrue="1" operator="lessThan">
      <formula>0</formula>
    </cfRule>
  </conditionalFormatting>
  <conditionalFormatting sqref="AT34">
    <cfRule type="cellIs" dxfId="526" priority="34" stopIfTrue="1" operator="lessThan">
      <formula>0</formula>
    </cfRule>
  </conditionalFormatting>
  <conditionalFormatting sqref="AW61:AW62">
    <cfRule type="cellIs" dxfId="525" priority="33" stopIfTrue="1" operator="lessThan">
      <formula>0</formula>
    </cfRule>
  </conditionalFormatting>
  <conditionalFormatting sqref="J56:J57 M56:N57">
    <cfRule type="cellIs" dxfId="524" priority="32" stopIfTrue="1" operator="lessThan">
      <formula>0</formula>
    </cfRule>
  </conditionalFormatting>
  <conditionalFormatting sqref="M58:N59 J58:J59">
    <cfRule type="cellIs" dxfId="523" priority="30" stopIfTrue="1" operator="lessThan">
      <formula>0</formula>
    </cfRule>
  </conditionalFormatting>
  <conditionalFormatting sqref="S56:U57 P56:P57">
    <cfRule type="cellIs" dxfId="522" priority="28" stopIfTrue="1" operator="lessThan">
      <formula>0</formula>
    </cfRule>
  </conditionalFormatting>
  <conditionalFormatting sqref="V56:W57">
    <cfRule type="cellIs" dxfId="521" priority="27" stopIfTrue="1" operator="lessThan">
      <formula>0</formula>
    </cfRule>
  </conditionalFormatting>
  <conditionalFormatting sqref="S59:U59 P59">
    <cfRule type="cellIs" dxfId="520" priority="26" stopIfTrue="1" operator="lessThan">
      <formula>0</formula>
    </cfRule>
  </conditionalFormatting>
  <conditionalFormatting sqref="V59:W59">
    <cfRule type="cellIs" dxfId="519" priority="25" stopIfTrue="1" operator="lessThan">
      <formula>0</formula>
    </cfRule>
  </conditionalFormatting>
  <conditionalFormatting sqref="S58:T58 P58">
    <cfRule type="cellIs" dxfId="518" priority="24" stopIfTrue="1" operator="lessThan">
      <formula>0</formula>
    </cfRule>
  </conditionalFormatting>
  <conditionalFormatting sqref="X56:X57">
    <cfRule type="cellIs" dxfId="517" priority="23" stopIfTrue="1" operator="lessThan">
      <formula>0</formula>
    </cfRule>
  </conditionalFormatting>
  <conditionalFormatting sqref="X59">
    <cfRule type="cellIs" dxfId="516" priority="22" stopIfTrue="1" operator="lessThan">
      <formula>0</formula>
    </cfRule>
  </conditionalFormatting>
  <conditionalFormatting sqref="X58">
    <cfRule type="cellIs" dxfId="515" priority="21" stopIfTrue="1" operator="lessThan">
      <formula>0</formula>
    </cfRule>
  </conditionalFormatting>
  <conditionalFormatting sqref="AA56:AA57">
    <cfRule type="cellIs" dxfId="514" priority="20" stopIfTrue="1" operator="lessThan">
      <formula>0</formula>
    </cfRule>
  </conditionalFormatting>
  <conditionalFormatting sqref="AA59">
    <cfRule type="cellIs" dxfId="513" priority="19" stopIfTrue="1" operator="lessThan">
      <formula>0</formula>
    </cfRule>
  </conditionalFormatting>
  <conditionalFormatting sqref="AA58">
    <cfRule type="cellIs" dxfId="512" priority="18" stopIfTrue="1" operator="lessThan">
      <formula>0</formula>
    </cfRule>
  </conditionalFormatting>
  <conditionalFormatting sqref="Q13:R15 P13:P21">
    <cfRule type="cellIs" dxfId="511" priority="94" stopIfTrue="1" operator="lessThan">
      <formula>0</formula>
    </cfRule>
  </conditionalFormatting>
  <conditionalFormatting sqref="AQ7:AR7 AO13:AP15 AN6:AN10 AN13:AN21">
    <cfRule type="cellIs" dxfId="510" priority="16" stopIfTrue="1" operator="lessThan">
      <formula>0</formula>
    </cfRule>
  </conditionalFormatting>
  <conditionalFormatting sqref="AU34">
    <cfRule type="cellIs" dxfId="509" priority="15" stopIfTrue="1" operator="lessThan">
      <formula>0</formula>
    </cfRule>
  </conditionalFormatting>
  <conditionalFormatting sqref="I26">
    <cfRule type="cellIs" dxfId="508" priority="14" stopIfTrue="1" operator="lessThan">
      <formula>0</formula>
    </cfRule>
  </conditionalFormatting>
  <conditionalFormatting sqref="I27">
    <cfRule type="cellIs" dxfId="507" priority="13" stopIfTrue="1" operator="lessThan">
      <formula>0</formula>
    </cfRule>
  </conditionalFormatting>
  <conditionalFormatting sqref="E53">
    <cfRule type="cellIs" dxfId="506" priority="12" stopIfTrue="1" operator="lessThan">
      <formula>0</formula>
    </cfRule>
  </conditionalFormatting>
  <conditionalFormatting sqref="E56:E57">
    <cfRule type="cellIs" dxfId="505" priority="8" stopIfTrue="1" operator="lessThan">
      <formula>0</formula>
    </cfRule>
  </conditionalFormatting>
  <conditionalFormatting sqref="E59">
    <cfRule type="cellIs" dxfId="504" priority="7" stopIfTrue="1" operator="lessThan">
      <formula>0</formula>
    </cfRule>
  </conditionalFormatting>
  <conditionalFormatting sqref="K49:K53">
    <cfRule type="cellIs" dxfId="503" priority="6" stopIfTrue="1" operator="lessThan">
      <formula>0</formula>
    </cfRule>
  </conditionalFormatting>
  <conditionalFormatting sqref="K56:K57">
    <cfRule type="cellIs" dxfId="502" priority="4" stopIfTrue="1" operator="lessThan">
      <formula>0</formula>
    </cfRule>
  </conditionalFormatting>
  <conditionalFormatting sqref="K58:K59">
    <cfRule type="cellIs" dxfId="501" priority="3" stopIfTrue="1" operator="lessThan">
      <formula>0</formula>
    </cfRule>
  </conditionalFormatting>
  <conditionalFormatting sqref="O56:O57">
    <cfRule type="cellIs" dxfId="500" priority="2" stopIfTrue="1" operator="lessThan">
      <formula>0</formula>
    </cfRule>
  </conditionalFormatting>
  <conditionalFormatting sqref="O58:O59">
    <cfRule type="cellIs" dxfId="49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C30"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4.25" thickTop="1" thickBot="1" x14ac:dyDescent="0.25">
      <c r="B5" s="342" t="s">
        <v>277</v>
      </c>
      <c r="C5" s="330"/>
      <c r="D5" s="483">
        <v>270779230</v>
      </c>
      <c r="E5" s="484">
        <f>7065899+264018773</f>
        <v>271084672</v>
      </c>
      <c r="F5" s="326"/>
      <c r="G5" s="328"/>
      <c r="H5" s="328"/>
      <c r="I5" s="483">
        <f>+E5</f>
        <v>271084672</v>
      </c>
      <c r="J5" s="483">
        <v>2427728</v>
      </c>
      <c r="K5" s="484">
        <f>1168359+509707+291331</f>
        <v>1969397</v>
      </c>
      <c r="L5" s="326"/>
      <c r="M5" s="326"/>
      <c r="N5" s="326"/>
      <c r="O5" s="483">
        <f>+K5</f>
        <v>1969397</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ht="14.25" thickTop="1" thickBot="1" x14ac:dyDescent="0.25">
      <c r="B6" s="343" t="s">
        <v>278</v>
      </c>
      <c r="C6" s="331" t="s">
        <v>8</v>
      </c>
      <c r="D6" s="318">
        <v>0</v>
      </c>
      <c r="E6" s="319">
        <f>+D6</f>
        <v>0</v>
      </c>
      <c r="F6" s="319"/>
      <c r="G6" s="320"/>
      <c r="H6" s="320"/>
      <c r="I6" s="318">
        <f>+E6</f>
        <v>0</v>
      </c>
      <c r="J6" s="318">
        <v>0</v>
      </c>
      <c r="K6" s="319">
        <f>+J6</f>
        <v>0</v>
      </c>
      <c r="L6" s="319"/>
      <c r="M6" s="319"/>
      <c r="N6" s="319"/>
      <c r="O6" s="483">
        <f>+K6</f>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ht="13.5" thickTop="1" x14ac:dyDescent="0.2">
      <c r="B7" s="343" t="s">
        <v>279</v>
      </c>
      <c r="C7" s="331" t="s">
        <v>9</v>
      </c>
      <c r="D7" s="318">
        <v>0</v>
      </c>
      <c r="E7" s="319">
        <f>+D7</f>
        <v>0</v>
      </c>
      <c r="F7" s="319"/>
      <c r="G7" s="320"/>
      <c r="H7" s="320"/>
      <c r="I7" s="397">
        <f>+E7</f>
        <v>0</v>
      </c>
      <c r="J7" s="318">
        <v>0</v>
      </c>
      <c r="K7" s="319">
        <f>+J7</f>
        <v>0</v>
      </c>
      <c r="L7" s="319"/>
      <c r="M7" s="319"/>
      <c r="N7" s="319"/>
      <c r="O7" s="483">
        <f>+K7</f>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-1339125</v>
      </c>
      <c r="E9" s="362"/>
      <c r="F9" s="362"/>
      <c r="G9" s="362"/>
      <c r="H9" s="362"/>
      <c r="I9" s="364"/>
      <c r="J9" s="318">
        <v>-6674</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25" thickBot="1"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thickTop="1" x14ac:dyDescent="0.2">
      <c r="B11" s="343" t="s">
        <v>281</v>
      </c>
      <c r="C11" s="331" t="s">
        <v>49</v>
      </c>
      <c r="D11" s="318">
        <v>-3236348</v>
      </c>
      <c r="E11" s="319">
        <f>+D11</f>
        <v>-3236348</v>
      </c>
      <c r="F11" s="319"/>
      <c r="G11" s="319"/>
      <c r="H11" s="319"/>
      <c r="I11" s="397">
        <f>+E11</f>
        <v>-3236348</v>
      </c>
      <c r="J11" s="318">
        <v>-114590</v>
      </c>
      <c r="K11" s="319">
        <f>+J11</f>
        <v>-114590</v>
      </c>
      <c r="L11" s="319"/>
      <c r="M11" s="319"/>
      <c r="N11" s="319"/>
      <c r="O11" s="402">
        <f>+K11</f>
        <v>-114590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thickBot="1" x14ac:dyDescent="0.25">
      <c r="B12" s="343" t="s">
        <v>282</v>
      </c>
      <c r="C12" s="331" t="s">
        <v>44</v>
      </c>
      <c r="D12" s="318">
        <v>-6257091</v>
      </c>
      <c r="E12" s="363"/>
      <c r="F12" s="363"/>
      <c r="G12" s="363"/>
      <c r="H12" s="363"/>
      <c r="I12" s="365"/>
      <c r="J12" s="318">
        <v>-31183</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ht="14.25" thickTop="1" thickBot="1" x14ac:dyDescent="0.25">
      <c r="B13" s="343" t="s">
        <v>283</v>
      </c>
      <c r="C13" s="331" t="s">
        <v>10</v>
      </c>
      <c r="D13" s="318">
        <v>4050574</v>
      </c>
      <c r="E13" s="319">
        <f>+D13</f>
        <v>4050574</v>
      </c>
      <c r="F13" s="319"/>
      <c r="G13" s="319"/>
      <c r="H13" s="319"/>
      <c r="I13" s="397">
        <f>+E13</f>
        <v>4050574</v>
      </c>
      <c r="J13" s="318">
        <v>0</v>
      </c>
      <c r="K13" s="319">
        <f>+J13</f>
        <v>0</v>
      </c>
      <c r="L13" s="319"/>
      <c r="M13" s="319"/>
      <c r="N13" s="319"/>
      <c r="O13" s="483">
        <f>+K13</f>
        <v>0</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ht="13.5" thickTop="1" x14ac:dyDescent="0.2">
      <c r="B14" s="343" t="s">
        <v>284</v>
      </c>
      <c r="C14" s="331" t="s">
        <v>11</v>
      </c>
      <c r="D14" s="318">
        <v>0</v>
      </c>
      <c r="E14" s="319">
        <f>+D14</f>
        <v>0</v>
      </c>
      <c r="F14" s="319"/>
      <c r="G14" s="319"/>
      <c r="H14" s="319"/>
      <c r="I14" s="397">
        <f>+E14</f>
        <v>0</v>
      </c>
      <c r="J14" s="318">
        <v>0</v>
      </c>
      <c r="K14" s="319">
        <f>+J14</f>
        <v>0</v>
      </c>
      <c r="L14" s="319"/>
      <c r="M14" s="319"/>
      <c r="N14" s="319"/>
      <c r="O14" s="483">
        <f>+K14</f>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25" thickBot="1" x14ac:dyDescent="0.25">
      <c r="B15" s="345" t="s">
        <v>285</v>
      </c>
      <c r="C15" s="331"/>
      <c r="D15" s="318">
        <f>+E15</f>
        <v>36814863</v>
      </c>
      <c r="E15" s="397">
        <v>36814863</v>
      </c>
      <c r="F15" s="319"/>
      <c r="G15" s="319"/>
      <c r="H15" s="319"/>
      <c r="I15" s="318">
        <f>+E15</f>
        <v>36814863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25" thickTop="1" x14ac:dyDescent="0.2">
      <c r="B16" s="345" t="s">
        <v>286</v>
      </c>
      <c r="C16" s="331"/>
      <c r="D16" s="318">
        <f>+E16</f>
        <v>-14555844</v>
      </c>
      <c r="E16" s="319">
        <v>-14555844</v>
      </c>
      <c r="F16" s="319"/>
      <c r="G16" s="319"/>
      <c r="H16" s="319"/>
      <c r="I16" s="318">
        <f>+E16</f>
        <v>-14555844</v>
      </c>
      <c r="J16" s="318">
        <f>+K16</f>
        <v>-470419</v>
      </c>
      <c r="K16" s="319">
        <v>-470419</v>
      </c>
      <c r="L16" s="319"/>
      <c r="M16" s="319"/>
      <c r="N16" s="319"/>
      <c r="O16" s="402">
        <f>+K16</f>
        <v>-470419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f>+E17</f>
        <v>0</v>
      </c>
      <c r="E17" s="361">
        <v>0</v>
      </c>
      <c r="F17" s="361"/>
      <c r="G17" s="361"/>
      <c r="H17" s="319"/>
      <c r="I17" s="365"/>
      <c r="J17" s="318">
        <f>+K17</f>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f>+E20</f>
        <v>191109037</v>
      </c>
      <c r="E20" s="319">
        <v>191109037</v>
      </c>
      <c r="F20" s="319"/>
      <c r="G20" s="319"/>
      <c r="H20" s="319"/>
      <c r="I20" s="318">
        <f>+E20</f>
        <v>191109037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ht="13.5" thickBot="1" x14ac:dyDescent="0.25">
      <c r="B23" s="343" t="s">
        <v>125</v>
      </c>
      <c r="C23" s="331"/>
      <c r="D23" s="318">
        <v>344416784.67000002</v>
      </c>
      <c r="E23" s="362"/>
      <c r="F23" s="362"/>
      <c r="G23" s="362"/>
      <c r="H23" s="362"/>
      <c r="I23" s="364"/>
      <c r="J23" s="318">
        <v>1117781.76</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thickTop="1" x14ac:dyDescent="0.2">
      <c r="B24" s="345" t="s">
        <v>114</v>
      </c>
      <c r="C24" s="331"/>
      <c r="D24" s="365"/>
      <c r="E24" s="487">
        <f>+[2]summary!$D$38</f>
        <v>329052434.61000001</v>
      </c>
      <c r="F24" s="319"/>
      <c r="G24" s="319"/>
      <c r="H24" s="319"/>
      <c r="I24" s="397">
        <f>+E24</f>
        <v>329052434.61000001</v>
      </c>
      <c r="J24" s="365"/>
      <c r="K24" s="487">
        <f>+[2]summary!$E$38</f>
        <v>1091898.3600000001</v>
      </c>
      <c r="L24" s="319"/>
      <c r="M24" s="319"/>
      <c r="N24" s="319"/>
      <c r="O24" s="402">
        <f>+K24</f>
        <v>1091898.3600000001</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25" thickBot="1" x14ac:dyDescent="0.25">
      <c r="B26" s="345" t="s">
        <v>110</v>
      </c>
      <c r="C26" s="331" t="s">
        <v>0</v>
      </c>
      <c r="D26" s="318">
        <v>52094878</v>
      </c>
      <c r="E26" s="362"/>
      <c r="F26" s="362"/>
      <c r="G26" s="362"/>
      <c r="H26" s="362"/>
      <c r="I26" s="364"/>
      <c r="J26" s="318">
        <v>467067</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25" thickTop="1" x14ac:dyDescent="0.2">
      <c r="B27" s="345" t="s">
        <v>85</v>
      </c>
      <c r="C27" s="331"/>
      <c r="D27" s="365"/>
      <c r="E27" s="319">
        <v>33477081</v>
      </c>
      <c r="F27" s="319"/>
      <c r="G27" s="319"/>
      <c r="H27" s="319"/>
      <c r="I27" s="397">
        <f>+E27</f>
        <v>33477081</v>
      </c>
      <c r="J27" s="365"/>
      <c r="K27" s="319">
        <v>87816</v>
      </c>
      <c r="L27" s="319"/>
      <c r="M27" s="319"/>
      <c r="N27" s="319"/>
      <c r="O27" s="402">
        <f>+K27</f>
        <v>87816</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30688155</v>
      </c>
      <c r="E28" s="363"/>
      <c r="F28" s="363"/>
      <c r="G28" s="363"/>
      <c r="H28" s="363"/>
      <c r="I28" s="365"/>
      <c r="J28" s="318">
        <v>152939</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25" thickBot="1" x14ac:dyDescent="0.25">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25" thickTop="1" x14ac:dyDescent="0.2">
      <c r="B31" s="345" t="s">
        <v>84</v>
      </c>
      <c r="C31" s="331"/>
      <c r="D31" s="365"/>
      <c r="E31" s="319">
        <v>0</v>
      </c>
      <c r="F31" s="319"/>
      <c r="G31" s="319"/>
      <c r="H31" s="319"/>
      <c r="I31" s="397">
        <f>+E31</f>
        <v>0</v>
      </c>
      <c r="J31" s="365"/>
      <c r="K31" s="319">
        <v>0</v>
      </c>
      <c r="L31" s="319"/>
      <c r="M31" s="319"/>
      <c r="N31" s="319"/>
      <c r="O31" s="402">
        <f>+K31</f>
        <v>0</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ht="13.5" thickBo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ht="14.25" thickTop="1" thickBot="1" x14ac:dyDescent="0.25">
      <c r="B35" s="345" t="s">
        <v>91</v>
      </c>
      <c r="C35" s="331"/>
      <c r="D35" s="365"/>
      <c r="E35" s="319">
        <v>0</v>
      </c>
      <c r="F35" s="319"/>
      <c r="G35" s="319"/>
      <c r="H35" s="319"/>
      <c r="I35" s="397">
        <f>+E35</f>
        <v>0</v>
      </c>
      <c r="J35" s="365"/>
      <c r="K35" s="319">
        <v>0</v>
      </c>
      <c r="L35" s="319"/>
      <c r="M35" s="319"/>
      <c r="N35" s="319"/>
      <c r="O35" s="402">
        <f>+K35</f>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ht="13.5" thickTop="1" x14ac:dyDescent="0.2">
      <c r="B36" s="343" t="s">
        <v>293</v>
      </c>
      <c r="C36" s="331" t="s">
        <v>3</v>
      </c>
      <c r="D36" s="318">
        <v>0</v>
      </c>
      <c r="E36" s="319">
        <v>0</v>
      </c>
      <c r="F36" s="319"/>
      <c r="G36" s="319"/>
      <c r="H36" s="319"/>
      <c r="I36" s="397">
        <f>+E36</f>
        <v>0</v>
      </c>
      <c r="J36" s="318">
        <v>0</v>
      </c>
      <c r="K36" s="319">
        <v>0</v>
      </c>
      <c r="L36" s="319"/>
      <c r="M36" s="319"/>
      <c r="N36" s="319"/>
      <c r="O36" s="402">
        <f>+K36</f>
        <v>0</v>
      </c>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thickBot="1" x14ac:dyDescent="0.25">
      <c r="B38" s="345" t="s">
        <v>124</v>
      </c>
      <c r="C38" s="331" t="s">
        <v>40</v>
      </c>
      <c r="D38" s="318">
        <v>-1339125</v>
      </c>
      <c r="E38" s="362"/>
      <c r="F38" s="362"/>
      <c r="G38" s="362"/>
      <c r="H38" s="362"/>
      <c r="I38" s="364"/>
      <c r="J38" s="318">
        <v>-6674</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thickTop="1" x14ac:dyDescent="0.2">
      <c r="B39" s="345" t="s">
        <v>86</v>
      </c>
      <c r="C39" s="331"/>
      <c r="D39" s="365"/>
      <c r="E39" s="319">
        <v>0</v>
      </c>
      <c r="F39" s="319"/>
      <c r="G39" s="319"/>
      <c r="H39" s="319"/>
      <c r="I39" s="397">
        <f>+E39</f>
        <v>0</v>
      </c>
      <c r="J39" s="365"/>
      <c r="K39" s="319">
        <v>0</v>
      </c>
      <c r="L39" s="319"/>
      <c r="M39" s="319"/>
      <c r="N39" s="319"/>
      <c r="O39" s="402">
        <f>+K39</f>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ht="13.5" thickBot="1" x14ac:dyDescent="0.25">
      <c r="B41" s="345" t="s">
        <v>112</v>
      </c>
      <c r="C41" s="331" t="s">
        <v>42</v>
      </c>
      <c r="D41" s="318">
        <v>-3236348</v>
      </c>
      <c r="E41" s="362"/>
      <c r="F41" s="362"/>
      <c r="G41" s="362"/>
      <c r="H41" s="362"/>
      <c r="I41" s="364"/>
      <c r="J41" s="318">
        <v>-114590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25" thickTop="1" x14ac:dyDescent="0.2">
      <c r="B42" s="345" t="s">
        <v>92</v>
      </c>
      <c r="C42" s="331"/>
      <c r="D42" s="365"/>
      <c r="E42" s="319">
        <v>0</v>
      </c>
      <c r="F42" s="319"/>
      <c r="G42" s="319"/>
      <c r="H42" s="319"/>
      <c r="I42" s="397">
        <f>+E42</f>
        <v>0</v>
      </c>
      <c r="J42" s="365"/>
      <c r="K42" s="319">
        <v>0</v>
      </c>
      <c r="L42" s="319"/>
      <c r="M42" s="319"/>
      <c r="N42" s="319"/>
      <c r="O42" s="402">
        <f>+K42</f>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-6257091</v>
      </c>
      <c r="E43" s="363"/>
      <c r="F43" s="363"/>
      <c r="G43" s="363"/>
      <c r="H43" s="363"/>
      <c r="I43" s="365"/>
      <c r="J43" s="318">
        <v>-31183</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ht="13.5" thickBot="1"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ht="14.25" thickTop="1" thickBot="1" x14ac:dyDescent="0.25">
      <c r="B45" s="345" t="s">
        <v>115</v>
      </c>
      <c r="C45" s="331" t="s">
        <v>30</v>
      </c>
      <c r="D45" s="318">
        <v>0</v>
      </c>
      <c r="E45" s="319">
        <v>0</v>
      </c>
      <c r="F45" s="319"/>
      <c r="G45" s="319"/>
      <c r="H45" s="319"/>
      <c r="I45" s="397">
        <f>+E45</f>
        <v>0</v>
      </c>
      <c r="J45" s="318">
        <v>0</v>
      </c>
      <c r="K45" s="319">
        <v>0</v>
      </c>
      <c r="L45" s="319"/>
      <c r="M45" s="319"/>
      <c r="N45" s="319"/>
      <c r="O45" s="402">
        <f>+K45</f>
        <v>0</v>
      </c>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ht="13.5" thickTop="1" x14ac:dyDescent="0.2">
      <c r="B46" s="343" t="s">
        <v>116</v>
      </c>
      <c r="C46" s="331" t="s">
        <v>31</v>
      </c>
      <c r="D46" s="318">
        <v>0</v>
      </c>
      <c r="E46" s="319">
        <v>0</v>
      </c>
      <c r="F46" s="319"/>
      <c r="G46" s="319"/>
      <c r="H46" s="319"/>
      <c r="I46" s="397">
        <f>+E46</f>
        <v>0</v>
      </c>
      <c r="J46" s="318">
        <v>0</v>
      </c>
      <c r="K46" s="319">
        <v>0</v>
      </c>
      <c r="L46" s="319"/>
      <c r="M46" s="319"/>
      <c r="N46" s="319"/>
      <c r="O46" s="402">
        <f>+K46</f>
        <v>0</v>
      </c>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ht="13.5" thickBot="1"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ht="13.5" thickTop="1" x14ac:dyDescent="0.2">
      <c r="B49" s="343" t="s">
        <v>118</v>
      </c>
      <c r="C49" s="331" t="s">
        <v>33</v>
      </c>
      <c r="D49" s="318">
        <v>1500000</v>
      </c>
      <c r="E49" s="319">
        <f>+D49</f>
        <v>1500000</v>
      </c>
      <c r="F49" s="319"/>
      <c r="G49" s="319"/>
      <c r="H49" s="319"/>
      <c r="I49" s="397">
        <f>+E49</f>
        <v>1500000</v>
      </c>
      <c r="J49" s="318">
        <v>0</v>
      </c>
      <c r="K49" s="319">
        <v>0</v>
      </c>
      <c r="L49" s="319"/>
      <c r="M49" s="319"/>
      <c r="N49" s="319"/>
      <c r="O49" s="402">
        <f>+K49</f>
        <v>0</v>
      </c>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826813</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ht="13.5" thickBo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ht="14.25" thickTop="1" thickBot="1" x14ac:dyDescent="0.25">
      <c r="B52" s="343" t="s">
        <v>300</v>
      </c>
      <c r="C52" s="331" t="s">
        <v>4</v>
      </c>
      <c r="D52" s="318">
        <v>0</v>
      </c>
      <c r="E52" s="319">
        <f>+D52</f>
        <v>0</v>
      </c>
      <c r="F52" s="319"/>
      <c r="G52" s="319"/>
      <c r="H52" s="319"/>
      <c r="I52" s="397">
        <f>+E52</f>
        <v>0</v>
      </c>
      <c r="J52" s="318">
        <v>0</v>
      </c>
      <c r="K52" s="319">
        <f>+J52</f>
        <v>0</v>
      </c>
      <c r="L52" s="319"/>
      <c r="M52" s="319"/>
      <c r="N52" s="319"/>
      <c r="O52" s="402">
        <f>+K52</f>
        <v>0</v>
      </c>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ht="13.5" thickTop="1" x14ac:dyDescent="0.2">
      <c r="B53" s="343" t="s">
        <v>301</v>
      </c>
      <c r="C53" s="331" t="s">
        <v>5</v>
      </c>
      <c r="D53" s="318">
        <v>0</v>
      </c>
      <c r="E53" s="319">
        <f>+D53</f>
        <v>0</v>
      </c>
      <c r="F53" s="319"/>
      <c r="G53" s="319"/>
      <c r="H53" s="319"/>
      <c r="I53" s="397">
        <f>+E53</f>
        <v>0</v>
      </c>
      <c r="J53" s="318">
        <v>0</v>
      </c>
      <c r="K53" s="319">
        <f>+J53</f>
        <v>0</v>
      </c>
      <c r="L53" s="319"/>
      <c r="M53" s="319"/>
      <c r="N53" s="319"/>
      <c r="O53" s="402">
        <f>+K53</f>
        <v>0</v>
      </c>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99">
        <f>+D23+D26-D28+D30-D32+D34-D36+D38+D41-D43+D45+D46-D47-D49+D50+D51+D52+D53</f>
        <v>366831938.67000002</v>
      </c>
      <c r="E54" s="400">
        <f>+E24+E27+E31+E35-E36+E39+E42+E45+E46-E49+E51+E52+E53</f>
        <v>361029515.61000001</v>
      </c>
      <c r="F54" s="323"/>
      <c r="G54" s="323"/>
      <c r="H54" s="323"/>
      <c r="I54" s="400">
        <f>+I24+I27+I31+I35-I36+I39+I42+I45+I46-I49+I51+I52+I53</f>
        <v>361029515.61000001</v>
      </c>
      <c r="J54" s="399">
        <f>+J23+J26-J28+J30-J32+J34-J36+J38+J41-J43+J45+J46-J47-J49+J50+J51+J52+J53</f>
        <v>1341828.76</v>
      </c>
      <c r="K54" s="400">
        <f>+K24+K27+K31+K35-K36+K39+K42+K45+K46-K49+K51+K52+K53</f>
        <v>1179714.3600000001</v>
      </c>
      <c r="L54" s="323"/>
      <c r="M54" s="323"/>
      <c r="N54" s="323"/>
      <c r="O54" s="400">
        <f>+O24+O27+O31+O35-O36+O39+O42+O45+O46-O49+O51+O52+O53</f>
        <v>1179714.3600000001</v>
      </c>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6.25" thickBot="1" x14ac:dyDescent="0.25">
      <c r="B55" s="348" t="s">
        <v>493</v>
      </c>
      <c r="C55" s="335" t="s">
        <v>28</v>
      </c>
      <c r="D55" s="399">
        <v>0</v>
      </c>
      <c r="E55" s="400">
        <v>0</v>
      </c>
      <c r="F55" s="323"/>
      <c r="G55" s="323"/>
      <c r="H55" s="323"/>
      <c r="I55" s="322"/>
      <c r="J55" s="399">
        <v>0</v>
      </c>
      <c r="K55" s="400">
        <v>0</v>
      </c>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thickTop="1" thickBot="1" x14ac:dyDescent="0.25">
      <c r="B56" s="343" t="s">
        <v>120</v>
      </c>
      <c r="C56" s="335" t="s">
        <v>412</v>
      </c>
      <c r="D56" s="318">
        <v>0</v>
      </c>
      <c r="E56" s="319">
        <f>+D56</f>
        <v>0</v>
      </c>
      <c r="F56" s="319"/>
      <c r="G56" s="319"/>
      <c r="H56" s="319"/>
      <c r="I56" s="318"/>
      <c r="J56" s="318">
        <v>0</v>
      </c>
      <c r="K56" s="319">
        <f>+J56</f>
        <v>0</v>
      </c>
      <c r="L56" s="319"/>
      <c r="M56" s="319"/>
      <c r="N56" s="319"/>
      <c r="O56" s="402">
        <f>+K56</f>
        <v>0</v>
      </c>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ht="13.5" thickTop="1" x14ac:dyDescent="0.2">
      <c r="B57" s="343" t="s">
        <v>121</v>
      </c>
      <c r="C57" s="335" t="s">
        <v>29</v>
      </c>
      <c r="D57" s="397">
        <v>0</v>
      </c>
      <c r="E57" s="398">
        <f>+D57</f>
        <v>0</v>
      </c>
      <c r="F57" s="319"/>
      <c r="G57" s="319"/>
      <c r="H57" s="319"/>
      <c r="I57" s="318"/>
      <c r="J57" s="397">
        <v>0</v>
      </c>
      <c r="K57" s="398">
        <f>+J57</f>
        <v>0</v>
      </c>
      <c r="L57" s="319"/>
      <c r="M57" s="319"/>
      <c r="N57" s="319"/>
      <c r="O57" s="402">
        <f>+K57</f>
        <v>0</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ht="13.5" thickBot="1" x14ac:dyDescent="0.25">
      <c r="B58" s="351" t="s">
        <v>494</v>
      </c>
      <c r="C58" s="352"/>
      <c r="D58" s="353"/>
      <c r="E58" s="354">
        <v>38040571</v>
      </c>
      <c r="F58" s="354"/>
      <c r="G58" s="354"/>
      <c r="H58" s="354"/>
      <c r="I58" s="353">
        <f>+E58-27071041+28472657</f>
        <v>39442187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8" priority="382" stopIfTrue="1" operator="lessThan">
      <formula>0</formula>
    </cfRule>
  </conditionalFormatting>
  <conditionalFormatting sqref="AA11:AA14">
    <cfRule type="cellIs" dxfId="497" priority="380" stopIfTrue="1" operator="lessThan">
      <formula>0</formula>
    </cfRule>
  </conditionalFormatting>
  <conditionalFormatting sqref="AN18:AN19">
    <cfRule type="cellIs" dxfId="496" priority="356" stopIfTrue="1" operator="lessThan">
      <formula>0</formula>
    </cfRule>
  </conditionalFormatting>
  <conditionalFormatting sqref="AU47">
    <cfRule type="cellIs" dxfId="495" priority="25" stopIfTrue="1" operator="lessThan">
      <formula>0</formula>
    </cfRule>
  </conditionalFormatting>
  <conditionalFormatting sqref="AS26">
    <cfRule type="cellIs" dxfId="494" priority="60" stopIfTrue="1" operator="lessThan">
      <formula>0</formula>
    </cfRule>
  </conditionalFormatting>
  <conditionalFormatting sqref="AT26">
    <cfRule type="cellIs" dxfId="493" priority="59" stopIfTrue="1" operator="lessThan">
      <formula>0</formula>
    </cfRule>
  </conditionalFormatting>
  <conditionalFormatting sqref="D5:D7">
    <cfRule type="cellIs" dxfId="492" priority="478" stopIfTrue="1" operator="lessThan">
      <formula>0</formula>
    </cfRule>
  </conditionalFormatting>
  <conditionalFormatting sqref="AU51">
    <cfRule type="cellIs" dxfId="491" priority="16" stopIfTrue="1" operator="lessThan">
      <formula>0</formula>
    </cfRule>
  </conditionalFormatting>
  <conditionalFormatting sqref="J5:J7">
    <cfRule type="cellIs" dxfId="490" priority="476" stopIfTrue="1" operator="lessThan">
      <formula>0</formula>
    </cfRule>
  </conditionalFormatting>
  <conditionalFormatting sqref="AT52">
    <cfRule type="cellIs" dxfId="489" priority="14" stopIfTrue="1" operator="lessThan">
      <formula>0</formula>
    </cfRule>
  </conditionalFormatting>
  <conditionalFormatting sqref="P5:P7">
    <cfRule type="cellIs" dxfId="488" priority="474" stopIfTrue="1" operator="lessThan">
      <formula>0</formula>
    </cfRule>
  </conditionalFormatting>
  <conditionalFormatting sqref="U5:U7">
    <cfRule type="cellIs" dxfId="487" priority="473" stopIfTrue="1" operator="lessThan">
      <formula>0</formula>
    </cfRule>
  </conditionalFormatting>
  <conditionalFormatting sqref="X5:X7">
    <cfRule type="cellIs" dxfId="486" priority="472" stopIfTrue="1" operator="lessThan">
      <formula>0</formula>
    </cfRule>
  </conditionalFormatting>
  <conditionalFormatting sqref="AA5:AA7">
    <cfRule type="cellIs" dxfId="485" priority="471" stopIfTrue="1" operator="lessThan">
      <formula>0</formula>
    </cfRule>
  </conditionalFormatting>
  <conditionalFormatting sqref="AD5:AD7">
    <cfRule type="cellIs" dxfId="484" priority="470" stopIfTrue="1" operator="lessThan">
      <formula>0</formula>
    </cfRule>
  </conditionalFormatting>
  <conditionalFormatting sqref="AI5:AI7">
    <cfRule type="cellIs" dxfId="483" priority="469" stopIfTrue="1" operator="lessThan">
      <formula>0</formula>
    </cfRule>
  </conditionalFormatting>
  <conditionalFormatting sqref="AN5:AN7">
    <cfRule type="cellIs" dxfId="482" priority="468" stopIfTrue="1" operator="lessThan">
      <formula>0</formula>
    </cfRule>
  </conditionalFormatting>
  <conditionalFormatting sqref="AS5:AS7">
    <cfRule type="cellIs" dxfId="481" priority="467" stopIfTrue="1" operator="lessThan">
      <formula>0</formula>
    </cfRule>
  </conditionalFormatting>
  <conditionalFormatting sqref="AT5:AT7">
    <cfRule type="cellIs" dxfId="480" priority="466" stopIfTrue="1" operator="lessThan">
      <formula>0</formula>
    </cfRule>
  </conditionalFormatting>
  <conditionalFormatting sqref="AU5:AU7">
    <cfRule type="cellIs" dxfId="479" priority="465" stopIfTrue="1" operator="lessThan">
      <formula>0</formula>
    </cfRule>
  </conditionalFormatting>
  <conditionalFormatting sqref="D9">
    <cfRule type="cellIs" dxfId="478" priority="464" stopIfTrue="1" operator="lessThan">
      <formula>0</formula>
    </cfRule>
  </conditionalFormatting>
  <conditionalFormatting sqref="D11:D20 E15">
    <cfRule type="cellIs" dxfId="477" priority="463" stopIfTrue="1" operator="lessThan">
      <formula>0</formula>
    </cfRule>
  </conditionalFormatting>
  <conditionalFormatting sqref="E10:I10">
    <cfRule type="cellIs" dxfId="476" priority="462" stopIfTrue="1" operator="lessThan">
      <formula>0</formula>
    </cfRule>
  </conditionalFormatting>
  <conditionalFormatting sqref="E11:H11">
    <cfRule type="cellIs" dxfId="475" priority="461" stopIfTrue="1" operator="lessThan">
      <formula>0</formula>
    </cfRule>
  </conditionalFormatting>
  <conditionalFormatting sqref="E16:I16 E13:H14 F15:I15">
    <cfRule type="cellIs" dxfId="474" priority="460" stopIfTrue="1" operator="lessThan">
      <formula>0</formula>
    </cfRule>
  </conditionalFormatting>
  <conditionalFormatting sqref="E18:I20">
    <cfRule type="cellIs" dxfId="473" priority="459" stopIfTrue="1" operator="lessThan">
      <formula>0</formula>
    </cfRule>
  </conditionalFormatting>
  <conditionalFormatting sqref="H17">
    <cfRule type="cellIs" dxfId="472" priority="458" stopIfTrue="1" operator="lessThan">
      <formula>0</formula>
    </cfRule>
  </conditionalFormatting>
  <conditionalFormatting sqref="D23">
    <cfRule type="cellIs" dxfId="471" priority="457" stopIfTrue="1" operator="lessThan">
      <formula>0</formula>
    </cfRule>
  </conditionalFormatting>
  <conditionalFormatting sqref="D26">
    <cfRule type="cellIs" dxfId="470" priority="456" stopIfTrue="1" operator="lessThan">
      <formula>0</formula>
    </cfRule>
  </conditionalFormatting>
  <conditionalFormatting sqref="D28">
    <cfRule type="cellIs" dxfId="469" priority="455" stopIfTrue="1" operator="lessThan">
      <formula>0</formula>
    </cfRule>
  </conditionalFormatting>
  <conditionalFormatting sqref="D30">
    <cfRule type="cellIs" dxfId="468" priority="454" stopIfTrue="1" operator="lessThan">
      <formula>0</formula>
    </cfRule>
  </conditionalFormatting>
  <conditionalFormatting sqref="D32">
    <cfRule type="cellIs" dxfId="467" priority="453" stopIfTrue="1" operator="lessThan">
      <formula>0</formula>
    </cfRule>
  </conditionalFormatting>
  <conditionalFormatting sqref="AU57">
    <cfRule type="cellIs" dxfId="466" priority="4" stopIfTrue="1" operator="lessThan">
      <formula>0</formula>
    </cfRule>
  </conditionalFormatting>
  <conditionalFormatting sqref="D34">
    <cfRule type="cellIs" dxfId="465" priority="452" stopIfTrue="1" operator="lessThan">
      <formula>0</formula>
    </cfRule>
  </conditionalFormatting>
  <conditionalFormatting sqref="D38">
    <cfRule type="cellIs" dxfId="464" priority="451" stopIfTrue="1" operator="lessThan">
      <formula>0</formula>
    </cfRule>
  </conditionalFormatting>
  <conditionalFormatting sqref="D41">
    <cfRule type="cellIs" dxfId="463" priority="450" stopIfTrue="1" operator="lessThan">
      <formula>0</formula>
    </cfRule>
  </conditionalFormatting>
  <conditionalFormatting sqref="D43">
    <cfRule type="cellIs" dxfId="462" priority="449" stopIfTrue="1" operator="lessThan">
      <formula>0</formula>
    </cfRule>
  </conditionalFormatting>
  <conditionalFormatting sqref="D47">
    <cfRule type="cellIs" dxfId="461" priority="448" stopIfTrue="1" operator="lessThan">
      <formula>0</formula>
    </cfRule>
  </conditionalFormatting>
  <conditionalFormatting sqref="D50">
    <cfRule type="cellIs" dxfId="460" priority="447" stopIfTrue="1" operator="lessThan">
      <formula>0</formula>
    </cfRule>
  </conditionalFormatting>
  <conditionalFormatting sqref="E24:H24">
    <cfRule type="cellIs" dxfId="459" priority="445" stopIfTrue="1" operator="lessThan">
      <formula>0</formula>
    </cfRule>
  </conditionalFormatting>
  <conditionalFormatting sqref="E27:H27">
    <cfRule type="cellIs" dxfId="458" priority="444" stopIfTrue="1" operator="lessThan">
      <formula>0</formula>
    </cfRule>
  </conditionalFormatting>
  <conditionalFormatting sqref="E31:H31">
    <cfRule type="cellIs" dxfId="457" priority="443" stopIfTrue="1" operator="lessThan">
      <formula>0</formula>
    </cfRule>
  </conditionalFormatting>
  <conditionalFormatting sqref="E35:H35">
    <cfRule type="cellIs" dxfId="456" priority="442" stopIfTrue="1" operator="lessThan">
      <formula>0</formula>
    </cfRule>
  </conditionalFormatting>
  <conditionalFormatting sqref="E39:H39">
    <cfRule type="cellIs" dxfId="455" priority="441" stopIfTrue="1" operator="lessThan">
      <formula>0</formula>
    </cfRule>
  </conditionalFormatting>
  <conditionalFormatting sqref="E42:H42">
    <cfRule type="cellIs" dxfId="454" priority="440" stopIfTrue="1" operator="lessThan">
      <formula>0</formula>
    </cfRule>
  </conditionalFormatting>
  <conditionalFormatting sqref="D36">
    <cfRule type="cellIs" dxfId="453" priority="439" stopIfTrue="1" operator="lessThan">
      <formula>0</formula>
    </cfRule>
  </conditionalFormatting>
  <conditionalFormatting sqref="E36:H36">
    <cfRule type="cellIs" dxfId="452" priority="438" stopIfTrue="1" operator="lessThan">
      <formula>0</formula>
    </cfRule>
  </conditionalFormatting>
  <conditionalFormatting sqref="D45">
    <cfRule type="cellIs" dxfId="451" priority="437" stopIfTrue="1" operator="lessThan">
      <formula>0</formula>
    </cfRule>
  </conditionalFormatting>
  <conditionalFormatting sqref="E45:H45">
    <cfRule type="cellIs" dxfId="450" priority="436" stopIfTrue="1" operator="lessThan">
      <formula>0</formula>
    </cfRule>
  </conditionalFormatting>
  <conditionalFormatting sqref="D46">
    <cfRule type="cellIs" dxfId="449" priority="435" stopIfTrue="1" operator="lessThan">
      <formula>0</formula>
    </cfRule>
  </conditionalFormatting>
  <conditionalFormatting sqref="E46:H46">
    <cfRule type="cellIs" dxfId="448" priority="434" stopIfTrue="1" operator="lessThan">
      <formula>0</formula>
    </cfRule>
  </conditionalFormatting>
  <conditionalFormatting sqref="D49">
    <cfRule type="cellIs" dxfId="447" priority="433" stopIfTrue="1" operator="lessThan">
      <formula>0</formula>
    </cfRule>
  </conditionalFormatting>
  <conditionalFormatting sqref="E49:H49">
    <cfRule type="cellIs" dxfId="446" priority="432" stopIfTrue="1" operator="lessThan">
      <formula>0</formula>
    </cfRule>
  </conditionalFormatting>
  <conditionalFormatting sqref="D51">
    <cfRule type="cellIs" dxfId="445" priority="431" stopIfTrue="1" operator="lessThan">
      <formula>0</formula>
    </cfRule>
  </conditionalFormatting>
  <conditionalFormatting sqref="E51:I51">
    <cfRule type="cellIs" dxfId="444" priority="430" stopIfTrue="1" operator="lessThan">
      <formula>0</formula>
    </cfRule>
  </conditionalFormatting>
  <conditionalFormatting sqref="D52">
    <cfRule type="cellIs" dxfId="443" priority="429" stopIfTrue="1" operator="lessThan">
      <formula>0</formula>
    </cfRule>
  </conditionalFormatting>
  <conditionalFormatting sqref="E52:H52">
    <cfRule type="cellIs" dxfId="442" priority="428" stopIfTrue="1" operator="lessThan">
      <formula>0</formula>
    </cfRule>
  </conditionalFormatting>
  <conditionalFormatting sqref="D53">
    <cfRule type="cellIs" dxfId="441" priority="427" stopIfTrue="1" operator="lessThan">
      <formula>0</formula>
    </cfRule>
  </conditionalFormatting>
  <conditionalFormatting sqref="E53:H53">
    <cfRule type="cellIs" dxfId="440" priority="426" stopIfTrue="1" operator="lessThan">
      <formula>0</formula>
    </cfRule>
  </conditionalFormatting>
  <conditionalFormatting sqref="D56:D57">
    <cfRule type="cellIs" dxfId="439" priority="425" stopIfTrue="1" operator="lessThan">
      <formula>0</formula>
    </cfRule>
  </conditionalFormatting>
  <conditionalFormatting sqref="E56:I56 E57">
    <cfRule type="cellIs" dxfId="438" priority="424" stopIfTrue="1" operator="lessThan">
      <formula>0</formula>
    </cfRule>
  </conditionalFormatting>
  <conditionalFormatting sqref="F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N11">
    <cfRule type="cellIs" dxfId="431" priority="416" stopIfTrue="1" operator="lessThan">
      <formula>0</formula>
    </cfRule>
  </conditionalFormatting>
  <conditionalFormatting sqref="K13:N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N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N24">
    <cfRule type="cellIs" dxfId="341" priority="322" stopIfTrue="1" operator="lessThan">
      <formula>0</formula>
    </cfRule>
  </conditionalFormatting>
  <conditionalFormatting sqref="K27:N27">
    <cfRule type="cellIs" dxfId="340" priority="321" stopIfTrue="1" operator="lessThan">
      <formula>0</formula>
    </cfRule>
  </conditionalFormatting>
  <conditionalFormatting sqref="K31:N31">
    <cfRule type="cellIs" dxfId="339" priority="320" stopIfTrue="1" operator="lessThan">
      <formula>0</formula>
    </cfRule>
  </conditionalFormatting>
  <conditionalFormatting sqref="K35:N35">
    <cfRule type="cellIs" dxfId="338" priority="319" stopIfTrue="1" operator="lessThan">
      <formula>0</formula>
    </cfRule>
  </conditionalFormatting>
  <conditionalFormatting sqref="K39:N39">
    <cfRule type="cellIs" dxfId="337" priority="318" stopIfTrue="1" operator="lessThan">
      <formula>0</formula>
    </cfRule>
  </conditionalFormatting>
  <conditionalFormatting sqref="K42:N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N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N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N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N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N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N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J57">
    <cfRule type="cellIs" dxfId="123" priority="103" stopIfTrue="1" operator="lessThan">
      <formula>0</formula>
    </cfRule>
  </conditionalFormatting>
  <conditionalFormatting sqref="K56:N56 K57">
    <cfRule type="cellIs" dxfId="122" priority="102" stopIfTrue="1" operator="lessThan">
      <formula>0</formula>
    </cfRule>
  </conditionalFormatting>
  <conditionalFormatting sqref="L57:N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Normal="100" workbookViewId="0">
      <pane xSplit="2" ySplit="3" topLeftCell="C24" activePane="bottomRight" state="frozen"/>
      <selection activeCell="B1" sqref="B1"/>
      <selection pane="topRight" activeCell="B1" sqref="B1"/>
      <selection pane="bottomLeft" activeCell="B1" sqref="B1"/>
      <selection pane="bottomRight" activeCell="I44" sqref="I4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4.25" thickTop="1" thickBot="1" x14ac:dyDescent="0.25">
      <c r="A5" s="107"/>
      <c r="B5" s="414" t="s">
        <v>308</v>
      </c>
      <c r="C5" s="402"/>
      <c r="D5" s="403">
        <v>201162068</v>
      </c>
      <c r="E5" s="454"/>
      <c r="F5" s="454"/>
      <c r="G5" s="448"/>
      <c r="H5" s="402"/>
      <c r="I5" s="403">
        <v>736393</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25" thickTop="1" x14ac:dyDescent="0.2">
      <c r="A6" s="107"/>
      <c r="B6" s="415" t="s">
        <v>309</v>
      </c>
      <c r="C6" s="397"/>
      <c r="D6" s="403">
        <v>193687433</v>
      </c>
      <c r="E6" s="400">
        <f>+'Pt 1 Summary of Data'!E12+'Pt 1 Summary of Data'!E22</f>
        <v>361029515.61000001</v>
      </c>
      <c r="F6" s="400">
        <f>+E6+D6</f>
        <v>554716948.61000001</v>
      </c>
      <c r="G6" s="401">
        <f>+'Pt 1 Summary of Data'!I12+'Pt 1 Summary of Data'!I22</f>
        <v>361029515.61000001</v>
      </c>
      <c r="H6" s="397"/>
      <c r="I6" s="403">
        <v>510693</v>
      </c>
      <c r="J6" s="400">
        <f>+'Pt 1 Summary of Data'!K12+'Pt 1 Summary of Data'!K22</f>
        <v>1179714.3600000001</v>
      </c>
      <c r="K6" s="486">
        <f>+J6+I6</f>
        <v>1690407.36</v>
      </c>
      <c r="L6" s="401">
        <f>+'Pt 1 Summary of Data'!O12+'Pt 1 Summary of Data'!O22</f>
        <v>1179714.3600000001</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f>+'[3]Pt 1 Summary of Data'!$E$37+'[3]Pt 1 Summary of Data'!$E$38+'[3]Pt 1 Summary of Data'!$E$39+'[3]Pt 1 Summary of Data'!$E$40+'[3]Pt 1 Summary of Data'!$E$41+'[3]Pt 1 Summary of Data'!$E$42</f>
        <v>1949329</v>
      </c>
      <c r="E7" s="400">
        <f>+'Pt 1 Summary of Data'!E37+'Pt 1 Summary of Data'!E38+'Pt 1 Summary of Data'!E39+'Pt 1 Summary of Data'!E40+'Pt 1 Summary of Data'!E41+'Pt 1 Summary of Data'!E42</f>
        <v>2373670</v>
      </c>
      <c r="F7" s="400">
        <f t="shared" ref="F7:F11" si="0">+E7+D7</f>
        <v>4322999</v>
      </c>
      <c r="G7" s="401">
        <f>+'Pt 1 Summary of Data'!I37+'Pt 1 Summary of Data'!I38+'Pt 1 Summary of Data'!I39+'Pt 1 Summary of Data'!I40+'Pt 1 Summary of Data'!I41+'Pt 1 Summary of Data'!I42</f>
        <v>2373670</v>
      </c>
      <c r="H7" s="397"/>
      <c r="I7" s="398">
        <f>+'[3]Pt 1 Summary of Data'!$K$37+'[3]Pt 1 Summary of Data'!$K$38+'[3]Pt 1 Summary of Data'!$K$39+'[3]Pt 1 Summary of Data'!$K$40+'[3]Pt 1 Summary of Data'!$K$41+'[3]Pt 1 Summary of Data'!$K$42</f>
        <v>9605</v>
      </c>
      <c r="J7" s="400">
        <f>+'Pt 1 Summary of Data'!K37+'Pt 1 Summary of Data'!K38+'Pt 1 Summary of Data'!K39+'Pt 1 Summary of Data'!K40+'Pt 1 Summary of Data'!K41+'Pt 1 Summary of Data'!K42</f>
        <v>16509</v>
      </c>
      <c r="K7" s="486">
        <f>+J7+I7</f>
        <v>26114</v>
      </c>
      <c r="L7" s="401">
        <f>+'Pt 1 Summary of Data'!O37+'Pt 1 Summary of Data'!O38+'Pt 1 Summary of Data'!O39+'Pt 1 Summary of Data'!O40+'Pt 1 Summary of Data'!O41+'Pt 1 Summary of Data'!O42</f>
        <v>16509</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28472657</v>
      </c>
      <c r="E8" s="400">
        <f>+'Pt 2 Premium and Claims'!E58</f>
        <v>38040571</v>
      </c>
      <c r="F8" s="400">
        <f t="shared" si="0"/>
        <v>66513228</v>
      </c>
      <c r="G8" s="401">
        <f>+'Pt 2 Premium and Claims'!I58</f>
        <v>39442187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f>+'[3]Pt 2 Premium and Claims'!$E$15</f>
        <v>33097630</v>
      </c>
      <c r="E9" s="400">
        <f>+'Pt 2 Premium and Claims'!E15</f>
        <v>36814863</v>
      </c>
      <c r="F9" s="400">
        <f t="shared" si="0"/>
        <v>69912493</v>
      </c>
      <c r="G9" s="401">
        <f>+'Pt 2 Premium and Claims'!I15</f>
        <v>36814863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f>+'[3]Pt 2 Premium and Claims'!$E$16</f>
        <v>-6160779</v>
      </c>
      <c r="E10" s="400">
        <f>+'Pt 2 Premium and Claims'!E16</f>
        <v>-14555844</v>
      </c>
      <c r="F10" s="400">
        <f t="shared" si="0"/>
        <v>-20716623</v>
      </c>
      <c r="G10" s="401">
        <f>+'Pt 2 Premium and Claims'!I16</f>
        <v>-14555844</v>
      </c>
      <c r="H10" s="443"/>
      <c r="I10" s="398">
        <f>+'[3]Pt 2 Premium and Claims'!$K$16</f>
        <v>-96974</v>
      </c>
      <c r="J10" s="400">
        <f>+'Pt 2 Premium and Claims'!K16</f>
        <v>-470419</v>
      </c>
      <c r="K10" s="486">
        <f>+J10+I10</f>
        <v>-567393</v>
      </c>
      <c r="L10" s="401">
        <f>+'Pt 2 Premium and Claims'!O16</f>
        <v>-470419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f>(+'[3]Pt 2 Premium and Claims'!$E$17)*(1345799+5702+157360)/('[4]3 - RC Payment or Charge Calc'!$D$9)</f>
        <v>863942.87893897761</v>
      </c>
      <c r="E11" s="400">
        <f>+'Pt 2 Premium and Claims'!E17</f>
        <v>0</v>
      </c>
      <c r="F11" s="400">
        <f t="shared" si="0"/>
        <v>863942.87893897761</v>
      </c>
      <c r="G11" s="450"/>
      <c r="H11" s="443"/>
      <c r="I11" s="398">
        <f>+'[3]Pt 2 Premium and Claims'!$K$17</f>
        <v>-1019.5689191599631</v>
      </c>
      <c r="J11" s="400">
        <f>+'Pt 2 Premium and Claims'!K17</f>
        <v>0</v>
      </c>
      <c r="K11" s="486">
        <f>+J11+I11</f>
        <v>-1019.5689191599631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f>+D6+D7-D8-D9-D10-D11</f>
        <v>139363311.12106103</v>
      </c>
      <c r="E12" s="400">
        <f>+E6+E7-E8-E9-E10-E11</f>
        <v>303103595.61000001</v>
      </c>
      <c r="F12" s="400">
        <f>+F6+F7-F8-F9-F10-F11</f>
        <v>442466906.73106104</v>
      </c>
      <c r="G12" s="447"/>
      <c r="H12" s="399"/>
      <c r="I12" s="400">
        <f>+I6+I7-I8-I9-I10-I11</f>
        <v>618291.56891915994</v>
      </c>
      <c r="J12" s="400">
        <f>+J6+J7-J8-J9-J10-J11</f>
        <v>1666642.36</v>
      </c>
      <c r="K12" s="400">
        <f>+K6+K7-K8-K9-K10-K11</f>
        <v>2284933.9289191603</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7" thickTop="1" thickBot="1" x14ac:dyDescent="0.25">
      <c r="B15" s="417" t="s">
        <v>431</v>
      </c>
      <c r="C15" s="402"/>
      <c r="D15" s="403">
        <f>(+'[3]Pt 1 Summary of Data'!$E$5+'[3]Pt 2 Premium and Claims'!$E$6+'[3]Pt 2 Premium and Claims'!$E$7)-('[3]Pt 3 MLR and Rebate Calculation'!$E$9+'[3]Pt 3 MLR and Rebate Calculation'!$E$10+'[3]Pt 3 MLR and Rebate Calculation'!$E$11)+('[3]Pt 3 MLR and Rebate Calculation'!$D$55)</f>
        <v>167110785</v>
      </c>
      <c r="E15" s="395">
        <f>+'Pt 1 Summary of Data'!E5+'Pt 1 Summary of Data'!E6+'Pt 1 Summary of Data'!E7-(E9+E10+E11)</f>
        <v>267034098</v>
      </c>
      <c r="F15" s="395">
        <f>+E15+D15</f>
        <v>434144883</v>
      </c>
      <c r="G15" s="395">
        <f>+'Pt 1 Summary of Data'!I5+'Pt 1 Summary of Data'!I6+'Pt 1 Summary of Data'!I7-('Pt 3 MLR and Rebate Calculation'!G9+'Pt 3 MLR and Rebate Calculation'!G10)</f>
        <v>267034098</v>
      </c>
      <c r="H15" s="402"/>
      <c r="I15" s="403">
        <f>+'[3]Pt 1 Summary of Data'!$K$5+'[3]Pt 1 Summary of Data'!$K$6+'[3]Pt 1 Summary of Data'!$K$7-('[3]Pt 3 MLR and Rebate Calculation'!$J$9+'[3]Pt 3 MLR and Rebate Calculation'!$J$10+'[3]Pt 3 MLR and Rebate Calculation'!$J$11)</f>
        <v>834387</v>
      </c>
      <c r="J15" s="395">
        <f>+'Pt 1 Summary of Data'!K5+'Pt 1 Summary of Data'!K6+'Pt 1 Summary of Data'!K7-('Pt 3 MLR and Rebate Calculation'!J9+'Pt 3 MLR and Rebate Calculation'!J10+'Pt 3 MLR and Rebate Calculation'!J11)</f>
        <v>1969397</v>
      </c>
      <c r="K15" s="486">
        <f>+J15+I15</f>
        <v>2803784</v>
      </c>
      <c r="L15" s="396">
        <f>+'Pt 1 Summary of Data'!O5+'Pt 1 Summary of Data'!O6+'Pt 1 Summary of Data'!O7-('Pt 3 MLR and Rebate Calculation'!L9+'Pt 3 MLR and Rebate Calculation'!L10)</f>
        <v>1969397</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ht="13.5" thickTop="1" x14ac:dyDescent="0.2">
      <c r="B16" s="415" t="s">
        <v>311</v>
      </c>
      <c r="C16" s="397"/>
      <c r="D16" s="398">
        <f>+'[3]Pt 1 Summary of Data'!$E$25+'[3]Pt 1 Summary of Data'!$E$26+'[3]Pt 1 Summary of Data'!$E$27+'[3]Pt 1 Summary of Data'!$E$28+'[3]Pt 1 Summary of Data'!$E$30+'[3]Pt 1 Summary of Data'!$E$31+'[3]Pt 1 Summary of Data'!$E$32+'[3]Pt 1 Summary of Data'!$E$34+'[3]Pt 1 Summary of Data'!$E$35</f>
        <v>12763633.52</v>
      </c>
      <c r="E16" s="400">
        <f>+'Pt 1 Summary of Data'!E25+'Pt 1 Summary of Data'!E26+'Pt 1 Summary of Data'!E27+'Pt 1 Summary of Data'!E28+'Pt 1 Summary of Data'!E30+'Pt 1 Summary of Data'!E31+'Pt 1 Summary of Data'!E32+'Pt 1 Summary of Data'!E34+'Pt 1 Summary of Data'!E35</f>
        <v>19380218</v>
      </c>
      <c r="F16" s="395">
        <f>+E16+D16</f>
        <v>32143851.52</v>
      </c>
      <c r="G16" s="401">
        <f>+'Pt 1 Summary of Data'!I25+'Pt 1 Summary of Data'!I26+'Pt 1 Summary of Data'!I27+'Pt 1 Summary of Data'!I28+'Pt 1 Summary of Data'!I30+'Pt 1 Summary of Data'!I31+'Pt 1 Summary of Data'!I32+'Pt 1 Summary of Data'!I34+'Pt 1 Summary of Data'!I35</f>
        <v>19380218</v>
      </c>
      <c r="H16" s="397"/>
      <c r="I16" s="398">
        <f>+'[3]Pt 1 Summary of Data'!$K$25+'[3]Pt 1 Summary of Data'!$K$26+'[3]Pt 1 Summary of Data'!$K$27+'[3]Pt 1 Summary of Data'!$K$28+'[3]Pt 1 Summary of Data'!$K$30+'[3]Pt 1 Summary of Data'!$K$31+'[3]Pt 1 Summary of Data'!$K$32+'[3]Pt 1 Summary of Data'!$K$34+'[3]Pt 1 Summary of Data'!$K$35</f>
        <v>43605.24</v>
      </c>
      <c r="J16" s="400">
        <f>+'Pt 1 Summary of Data'!K25+'Pt 1 Summary of Data'!K26+'Pt 1 Summary of Data'!K27+'Pt 1 Summary of Data'!K28+'Pt 1 Summary of Data'!K30+'Pt 1 Summary of Data'!K31+'Pt 1 Summary of Data'!K32+'Pt 1 Summary of Data'!K34+'Pt 1 Summary of Data'!K35</f>
        <v>64312</v>
      </c>
      <c r="K16" s="486">
        <f>+J16+I16</f>
        <v>107917.23999999999</v>
      </c>
      <c r="L16" s="401">
        <f>+'Pt 1 Summary of Data'!O25+'Pt 1 Summary of Data'!O26+'Pt 1 Summary of Data'!O27+'Pt 1 Summary of Data'!O28+'Pt 1 Summary of Data'!O30+'Pt 1 Summary of Data'!O31+'Pt 1 Summary of Data'!O32+'Pt 1 Summary of Data'!O34+'Pt 1 Summary of Data'!O35</f>
        <v>64312</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f>+D15-D16</f>
        <v>154347151.47999999</v>
      </c>
      <c r="E17" s="400">
        <f>+E15-E16</f>
        <v>247653880</v>
      </c>
      <c r="F17" s="400">
        <f>+F15-F16</f>
        <v>402001031.48000002</v>
      </c>
      <c r="G17" s="450"/>
      <c r="H17" s="400">
        <f>+H15-H16</f>
        <v>0</v>
      </c>
      <c r="I17" s="400">
        <f>+I15-I16</f>
        <v>790781.76</v>
      </c>
      <c r="J17" s="400">
        <f>+J15-J16</f>
        <v>1905085</v>
      </c>
      <c r="K17" s="400">
        <f>+K15-K16</f>
        <v>2695866.76</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+G6+G7-G8-G9-G10+G58</f>
        <v>304791119.09399998</v>
      </c>
      <c r="H19" s="455"/>
      <c r="I19" s="454"/>
      <c r="J19" s="454"/>
      <c r="K19" s="454"/>
      <c r="L19" s="396">
        <f>+L6+L7-L8-L9-L10+L58</f>
        <v>1677060.8760000002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+'Pt 1 Summary of Data'!I44+'Pt 1 Summary of Data'!I45+'Pt 1 Summary of Data'!I46+'Pt 1 Summary of Data'!I47+'Pt 1 Summary of Data'!I49+'Pt 1 Summary of Data'!I50+'Pt 1 Summary of Data'!I51</f>
        <v>45530285</v>
      </c>
      <c r="H20" s="443"/>
      <c r="I20" s="441"/>
      <c r="J20" s="441"/>
      <c r="K20" s="441"/>
      <c r="L20" s="401">
        <f>+'Pt 1 Summary of Data'!O44+'Pt 1 Summary of Data'!O45+'Pt 1 Summary of Data'!O46+'Pt 1 Summary of Data'!O47+'Pt 1 Summary of Data'!O49+'Pt 1 Summary of Data'!O50+'Pt 1 Summary of Data'!O51</f>
        <v>316656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+G23</f>
        <v>12382694</v>
      </c>
      <c r="H21" s="443"/>
      <c r="I21" s="441"/>
      <c r="J21" s="441"/>
      <c r="K21" s="441"/>
      <c r="L21" s="401">
        <f>+L23</f>
        <v>95254.25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f>
        <v>-102667524.09399998</v>
      </c>
      <c r="H22" s="443"/>
      <c r="I22" s="441"/>
      <c r="J22" s="441"/>
      <c r="K22" s="441"/>
      <c r="L22" s="401">
        <f>+L15-L19-L16-L20</f>
        <v>-88631.876000000164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((0.03+0.02)*(G15-G16))</f>
        <v>12382694</v>
      </c>
      <c r="H23" s="443"/>
      <c r="I23" s="441"/>
      <c r="J23" s="441"/>
      <c r="K23" s="441"/>
      <c r="L23" s="401">
        <f>((0.03+0.02)*(L15-L16))</f>
        <v>95254.25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(0.03*(G15-G16))</f>
        <v>7429616.3999999994</v>
      </c>
      <c r="H24" s="443"/>
      <c r="I24" s="441"/>
      <c r="J24" s="441"/>
      <c r="K24" s="441"/>
      <c r="L24" s="401">
        <f>(0.03*(L15-L16))</f>
        <v>57152.549999999996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+G27</f>
        <v>73864071.599999994</v>
      </c>
      <c r="H25" s="443"/>
      <c r="I25" s="441"/>
      <c r="J25" s="441"/>
      <c r="K25" s="441"/>
      <c r="L25" s="401">
        <f>L26</f>
        <v>476222.25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f>
        <v>77293197</v>
      </c>
      <c r="H26" s="443"/>
      <c r="I26" s="441"/>
      <c r="J26" s="441"/>
      <c r="K26" s="441"/>
      <c r="L26" s="401">
        <f>(L20+L21+L16)</f>
        <v>476222.25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((0.2+0.02)*(G15-G16)+G16)</f>
        <v>73864071.599999994</v>
      </c>
      <c r="H27" s="443"/>
      <c r="I27" s="441"/>
      <c r="J27" s="441"/>
      <c r="K27" s="441"/>
      <c r="L27" s="401">
        <f>((0.2+0.02)*(L15-L16)+L16)</f>
        <v>483430.7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+G15-G25</f>
        <v>193170026.40000001</v>
      </c>
      <c r="H28" s="443"/>
      <c r="I28" s="441"/>
      <c r="J28" s="441"/>
      <c r="K28" s="441"/>
      <c r="L28" s="401">
        <f>+L15-L25</f>
        <v>1493174.75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+G32</f>
        <v>68910994</v>
      </c>
      <c r="H29" s="443"/>
      <c r="I29" s="441"/>
      <c r="J29" s="441"/>
      <c r="K29" s="441"/>
      <c r="L29" s="401">
        <f>L31</f>
        <v>438120.55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+G24</f>
        <v>7429616.3999999994</v>
      </c>
      <c r="H30" s="443"/>
      <c r="I30" s="441"/>
      <c r="J30" s="441"/>
      <c r="K30" s="441"/>
      <c r="L30" s="471">
        <f>+L24</f>
        <v>57152.549999999996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72340119.400000006</v>
      </c>
      <c r="H31" s="443"/>
      <c r="I31" s="441"/>
      <c r="J31" s="441"/>
      <c r="K31" s="441"/>
      <c r="L31" s="401">
        <f>(L20+L30+L16)</f>
        <v>438120.55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(0.2*(G15-G16)+G16)</f>
        <v>68910994</v>
      </c>
      <c r="H32" s="443"/>
      <c r="I32" s="441"/>
      <c r="J32" s="441"/>
      <c r="K32" s="441"/>
      <c r="L32" s="401">
        <f>(0.2*(L15-L16)+L16)</f>
        <v>445329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+G15-G29</f>
        <v>198123104</v>
      </c>
      <c r="H33" s="443"/>
      <c r="I33" s="441"/>
      <c r="J33" s="441"/>
      <c r="K33" s="441"/>
      <c r="L33" s="401">
        <f>+L15-L29</f>
        <v>1531276.45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1.5383926101521204</v>
      </c>
      <c r="H34" s="462"/>
      <c r="I34" s="463"/>
      <c r="J34" s="463"/>
      <c r="K34" s="463"/>
      <c r="L34" s="469">
        <f>+L19/L33</f>
        <v>1.0952045112428916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'[5]3 - RC Payment or Charge Calc'!$D$12</f>
        <v>77607611.019199967</v>
      </c>
      <c r="H35" s="443"/>
      <c r="I35" s="441"/>
      <c r="J35" s="441"/>
      <c r="K35" s="441"/>
      <c r="L35" s="477">
        <f>'[5]3 - RC Payment or Charge Calc'!$E$12</f>
        <v>56907.759250000046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'[5]3 - RC Payment or Charge Calc'!$D$13</f>
        <v>76957354.43629548</v>
      </c>
      <c r="H36" s="443"/>
      <c r="I36" s="441"/>
      <c r="J36" s="441"/>
      <c r="K36" s="441"/>
      <c r="L36" s="478">
        <f>'[5]3 - RC Payment or Charge Calc'!$E$13</f>
        <v>28245.062447853859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c r="D38" s="405">
        <f>+'[3]Pt 1 Summary of Data'!$E$60</f>
        <v>38607.833333333336</v>
      </c>
      <c r="E38" s="432">
        <f>+'Pt 1 Summary of Data'!E60</f>
        <v>67554.833333333328</v>
      </c>
      <c r="F38" s="432">
        <f>+E38+D38</f>
        <v>106162.66666666666</v>
      </c>
      <c r="G38" s="448"/>
      <c r="H38" s="404"/>
      <c r="I38" s="405">
        <f>+'[6]Pt 1 Summary of Data'!$K$60</f>
        <v>189.75</v>
      </c>
      <c r="J38" s="432">
        <f>+'Pt 1 Summary of Data'!K60</f>
        <v>469.83333333333331</v>
      </c>
      <c r="K38" s="432">
        <f>+J38+I38</f>
        <v>659.58333333333326</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f>+D12/D17</f>
        <v>0.90292117337273603</v>
      </c>
      <c r="E45" s="436">
        <f>+E12/E17</f>
        <v>1.2239000479620994</v>
      </c>
      <c r="F45" s="436">
        <f>+F12/F17</f>
        <v>1.1006611229381242</v>
      </c>
      <c r="G45" s="447"/>
      <c r="H45" s="436"/>
      <c r="I45" s="436">
        <f>+I12/I17</f>
        <v>0.78187383699790947</v>
      </c>
      <c r="J45" s="436">
        <f>+J12/J17</f>
        <v>0.87483884446100835</v>
      </c>
      <c r="K45" s="436">
        <f>+K12/K17</f>
        <v>0.84756930973812683</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0</v>
      </c>
      <c r="G47" s="447"/>
      <c r="H47" s="443"/>
      <c r="I47" s="441"/>
      <c r="J47" s="441"/>
      <c r="K47" s="436">
        <f>+K42</f>
        <v>0</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1.1006611229381242</v>
      </c>
      <c r="G48" s="447"/>
      <c r="H48" s="443"/>
      <c r="I48" s="441"/>
      <c r="J48" s="441"/>
      <c r="K48" s="436">
        <f>+K45+K47</f>
        <v>0.84756930973812683</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f>+'[3]Pt 3 MLR and Rebate Calculation'!$D$49</f>
        <v>0.8</v>
      </c>
      <c r="E50" s="407">
        <v>0.8</v>
      </c>
      <c r="F50" s="407">
        <v>0.8</v>
      </c>
      <c r="G50" s="448"/>
      <c r="H50" s="406"/>
      <c r="I50" s="407">
        <f>+'[3]Pt 3 MLR and Rebate Calculation'!$J$49</f>
        <v>0.8</v>
      </c>
      <c r="J50" s="407">
        <v>0.8</v>
      </c>
      <c r="K50" s="407">
        <v>0.8</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1.1006611229381242</v>
      </c>
      <c r="G51" s="447"/>
      <c r="H51" s="444"/>
      <c r="I51" s="442"/>
      <c r="J51" s="442"/>
      <c r="K51" s="436">
        <f>+K48</f>
        <v>0.84756930973812683</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+E15-E16</f>
        <v>247653880</v>
      </c>
      <c r="G52" s="447"/>
      <c r="H52" s="443"/>
      <c r="I52" s="441"/>
      <c r="J52" s="441"/>
      <c r="K52" s="400">
        <f>+J15-J16</f>
        <v>1905085</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86"/>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3089139.4839999974</v>
      </c>
      <c r="H58" s="452"/>
      <c r="I58" s="453"/>
      <c r="J58" s="453"/>
      <c r="K58" s="453"/>
      <c r="L58" s="400">
        <f>+L60-L59</f>
        <v>10418.516000000003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+'[7]Pt 1 Summary of Data'!$I$12+'[7]Pt 1 Summary of Data'!$I$22</f>
        <v>190598293.516</v>
      </c>
      <c r="H59" s="443"/>
      <c r="I59" s="441"/>
      <c r="J59" s="472"/>
      <c r="K59" s="441"/>
      <c r="L59" s="398">
        <f>+'[7]Pt 1 Summary of Data'!$O$12+'[7]Pt 1 Summary of Data'!$O$22</f>
        <v>500274.484</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+D6</f>
        <v>193687433</v>
      </c>
      <c r="H60" s="443"/>
      <c r="I60" s="441"/>
      <c r="J60" s="472"/>
      <c r="K60" s="441"/>
      <c r="L60" s="398">
        <f>+I6</f>
        <v>510693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775" yWindow="90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6" sqref="G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8"/>
      <c r="D23" s="489"/>
      <c r="E23" s="489"/>
      <c r="F23" s="489"/>
      <c r="G23" s="489"/>
      <c r="H23" s="489"/>
      <c r="I23" s="489"/>
      <c r="J23" s="489"/>
      <c r="K23" s="490"/>
    </row>
    <row r="24" spans="2:12" s="5" customFormat="1" ht="100.15" customHeight="1" x14ac:dyDescent="0.2">
      <c r="B24" s="90" t="s">
        <v>213</v>
      </c>
      <c r="C24" s="491"/>
      <c r="D24" s="492"/>
      <c r="E24" s="492"/>
      <c r="F24" s="492"/>
      <c r="G24" s="492"/>
      <c r="H24" s="492"/>
      <c r="I24" s="492"/>
      <c r="J24" s="492"/>
      <c r="K24" s="4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Jim Mitchell</cp:lastModifiedBy>
  <cp:lastPrinted>2014-12-18T11:24:00Z</cp:lastPrinted>
  <dcterms:created xsi:type="dcterms:W3CDTF">2012-03-15T16:14:51Z</dcterms:created>
  <dcterms:modified xsi:type="dcterms:W3CDTF">2016-08-02T00:30:22Z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