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0" yWindow="7305" windowWidth="28725" windowHeight="706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P41" i="10" l="1"/>
  <c r="AT12" i="4" l="1"/>
  <c r="AS12" i="4"/>
  <c r="AT5" i="4"/>
  <c r="AS5" i="4"/>
  <c r="P51" i="10" l="1"/>
  <c r="K51" i="10"/>
  <c r="P44" i="10"/>
  <c r="P46" i="10"/>
  <c r="P47" i="10" s="1"/>
  <c r="P38" i="10"/>
  <c r="P37" i="10"/>
  <c r="P17" i="10"/>
  <c r="P16" i="10"/>
  <c r="P15" i="10"/>
  <c r="P12" i="10"/>
  <c r="P7" i="10"/>
  <c r="P6" i="10"/>
  <c r="O44" i="10"/>
  <c r="M44" i="10"/>
  <c r="O17" i="10"/>
  <c r="N17" i="10"/>
  <c r="O16" i="10"/>
  <c r="O15" i="10"/>
  <c r="O12" i="10"/>
  <c r="O7" i="10"/>
  <c r="O6" i="10"/>
  <c r="K44" i="10"/>
  <c r="J44" i="10"/>
  <c r="I44" i="10"/>
  <c r="H44" i="10"/>
  <c r="K47" i="10"/>
  <c r="K38" i="10"/>
  <c r="K37" i="10"/>
  <c r="K17" i="10"/>
  <c r="K16" i="10"/>
  <c r="K15" i="10"/>
  <c r="K12" i="10"/>
  <c r="K7" i="10"/>
  <c r="K6" i="10"/>
  <c r="J17" i="10"/>
  <c r="I17" i="10"/>
  <c r="J16" i="10"/>
  <c r="J15" i="10"/>
  <c r="J7" i="10"/>
  <c r="J6" i="10"/>
  <c r="J12" i="10"/>
  <c r="AT22" i="4"/>
  <c r="AS22" i="4"/>
  <c r="Q12" i="4"/>
  <c r="Q54" i="18"/>
  <c r="Q24" i="18"/>
  <c r="Q14" i="4"/>
  <c r="K24" i="18" l="1"/>
  <c r="K54" i="18" l="1"/>
  <c r="K12" i="4" s="1"/>
  <c r="P14" i="4" l="1"/>
  <c r="P12" i="4"/>
  <c r="N12" i="10" l="1"/>
  <c r="M12" i="10"/>
  <c r="I12" i="10"/>
  <c r="H12" i="10"/>
  <c r="J12" i="4" l="1"/>
  <c r="N6" i="10"/>
  <c r="M17" i="10" l="1"/>
  <c r="M16" i="10"/>
  <c r="M15" i="10"/>
  <c r="H17" i="10"/>
  <c r="H15" i="10"/>
  <c r="H16" i="10"/>
  <c r="J54" i="18"/>
  <c r="P54" i="18"/>
  <c r="AS54" i="18"/>
  <c r="AT54" i="18"/>
</calcChain>
</file>

<file path=xl/sharedStrings.xml><?xml version="1.0" encoding="utf-8"?>
<sst xmlns="http://schemas.openxmlformats.org/spreadsheetml/2006/main" count="563" uniqueCount="501">
  <si>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</si>
  <si>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</si>
  <si>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</si>
  <si>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</si>
  <si>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</si>
  <si>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</si>
  <si>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</si>
  <si>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</si>
  <si>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</si>
  <si>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</si>
  <si>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</si>
  <si>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</si>
  <si>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</si>
  <si>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</si>
  <si>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</si>
  <si>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</si>
  <si>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</si>
  <si>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</si>
  <si>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</si>
  <si>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</si>
  <si>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</si>
  <si>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</si>
  <si>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</si>
  <si>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</si>
  <si>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</si>
  <si>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</si>
  <si>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</si>
  <si>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</si>
  <si>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</si>
  <si>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</si>
  <si>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</si>
  <si>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</si>
  <si>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</si>
  <si>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</si>
  <si>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</si>
  <si>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</si>
  <si>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</si>
  <si>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</si>
  <si>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</si>
  <si>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</si>
  <si>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</si>
  <si>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</si>
  <si>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</si>
  <si>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</si>
  <si>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</si>
  <si>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</si>
  <si>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</si>
  <si>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</si>
  <si>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</si>
  <si>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</si>
  <si>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</si>
  <si>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</si>
  <si>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</si>
  <si>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</si>
  <si>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</si>
  <si>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</si>
  <si>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</si>
  <si>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</si>
  <si>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</si>
  <si>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</si>
  <si>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</si>
  <si>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</si>
  <si>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</si>
  <si>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</si>
  <si>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</si>
  <si>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</si>
  <si>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</si>
  <si>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</si>
  <si>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</si>
  <si>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</si>
  <si>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</si>
  <si>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</si>
  <si>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</si>
  <si>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</si>
  <si>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</si>
  <si>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</si>
  <si>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</si>
  <si>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</si>
  <si>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</si>
  <si>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</si>
  <si>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</si>
  <si>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</si>
  <si>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</si>
  <si>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</si>
  <si>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</si>
  <si>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</si>
  <si>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</si>
  <si>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</si>
  <si>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</si>
  <si>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</si>
  <si>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</si>
  <si>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</si>
  <si>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</si>
  <si>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</si>
  <si>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</si>
  <si>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</si>
  <si>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</si>
  <si>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</si>
  <si>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</si>
  <si>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</si>
  <si>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</si>
  <si>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</si>
  <si>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</si>
  <si>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</si>
  <si>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</si>
  <si>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</si>
  <si>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</si>
  <si>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</si>
  <si>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</si>
  <si>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</si>
  <si>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</si>
  <si>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</si>
  <si>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</si>
  <si>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</si>
  <si>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</si>
  <si>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</si>
  <si>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</si>
  <si>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</si>
  <si>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</si>
  <si>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</si>
  <si>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</si>
  <si>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</si>
  <si>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</si>
  <si>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</si>
  <si>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</si>
  <si>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</si>
  <si>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</si>
  <si>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</si>
  <si>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</si>
  <si>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</si>
  <si>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</si>
  <si>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</si>
  <si>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</si>
  <si>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</si>
  <si>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</si>
  <si>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</si>
  <si>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</si>
  <si>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</si>
  <si>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</si>
  <si>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</si>
  <si>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</si>
  <si>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</si>
  <si>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</si>
  <si>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</si>
  <si>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</si>
  <si>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</si>
  <si>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</si>
  <si>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</si>
  <si>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</si>
  <si>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</si>
  <si>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</si>
  <si>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</si>
  <si>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</si>
  <si>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</si>
  <si>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</si>
  <si>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</si>
  <si>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</si>
  <si>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</si>
  <si>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</si>
  <si>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</si>
  <si>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</si>
  <si>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</si>
  <si>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</si>
  <si>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</si>
  <si>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</si>
  <si>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</si>
  <si>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</si>
  <si>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</si>
  <si>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</si>
  <si>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</si>
  <si>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</si>
  <si>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</si>
  <si>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</si>
  <si>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</si>
  <si>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</si>
  <si>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</si>
  <si>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</si>
  <si>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</si>
  <si>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</si>
  <si>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</si>
  <si>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</si>
  <si>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</si>
  <si>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</si>
  <si>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</si>
  <si>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</si>
  <si>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</si>
  <si>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</si>
  <si>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</si>
  <si>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</si>
  <si>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</si>
  <si>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</si>
  <si>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</si>
  <si>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</si>
  <si>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</si>
  <si>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</si>
  <si>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</si>
  <si>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</si>
  <si>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</si>
  <si>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</si>
  <si>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</si>
  <si>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</si>
  <si>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</si>
  <si>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</si>
  <si>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</si>
  <si>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</si>
  <si>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</si>
  <si>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</si>
  <si>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</si>
  <si>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</si>
  <si>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</si>
  <si>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</si>
  <si>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</si>
  <si>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</si>
  <si>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</si>
  <si>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</si>
  <si>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</si>
  <si>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</si>
  <si>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</si>
  <si>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</si>
  <si>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</si>
  <si>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</si>
  <si>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</si>
  <si>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</si>
  <si>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</si>
  <si>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</si>
  <si>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</si>
  <si>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</si>
  <si>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</si>
  <si>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</si>
  <si>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</si>
  <si>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</si>
  <si>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</si>
  <si>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</si>
  <si>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</si>
  <si>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</si>
  <si>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</si>
  <si>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</si>
  <si>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</si>
  <si>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</si>
  <si>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</si>
  <si>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</si>
  <si>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</si>
  <si>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</si>
  <si>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</si>
  <si>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</si>
  <si>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</si>
  <si>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</si>
  <si>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</si>
  <si>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</si>
  <si>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</si>
  <si>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</si>
  <si>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</si>
  <si>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</si>
  <si>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</si>
  <si>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</si>
  <si>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</si>
  <si>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</si>
  <si>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</si>
  <si>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</si>
  <si>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</si>
  <si>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</si>
  <si>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</si>
  <si>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</si>
  <si>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</si>
  <si>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</si>
  <si>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</si>
  <si>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</si>
  <si>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</si>
  <si>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</si>
  <si>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</si>
  <si>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</si>
  <si>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</si>
  <si>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</si>
  <si>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</si>
  <si>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</si>
  <si>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</si>
  <si>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</si>
  <si>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</si>
  <si>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</si>
  <si>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</si>
  <si>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</si>
  <si>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</si>
  <si>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</si>
  <si>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</si>
  <si>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</si>
  <si>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</si>
  <si>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</si>
  <si>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</si>
  <si>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</si>
  <si>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</si>
  <si>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</si>
  <si>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</si>
  <si>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</si>
  <si>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</si>
  <si>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</si>
  <si>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</si>
  <si>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</si>
  <si>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</si>
  <si>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</si>
  <si>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</si>
  <si>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</si>
  <si>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</si>
  <si>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</si>
  <si>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</si>
  <si>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</si>
  <si>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</si>
  <si>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</si>
  <si>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</si>
  <si>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</si>
  <si>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</si>
  <si>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</si>
  <si>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</si>
  <si>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</si>
  <si>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</si>
  <si>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</si>
  <si>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</si>
  <si>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</si>
  <si>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</si>
  <si>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</si>
  <si>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</si>
  <si>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</si>
  <si>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</si>
  <si>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</si>
  <si>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</si>
  <si>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</si>
  <si>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</si>
  <si>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</si>
  <si>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</si>
  <si>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</si>
  <si>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</si>
  <si>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</si>
  <si>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</si>
  <si>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</si>
  <si>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</si>
  <si>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</si>
  <si>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</si>
  <si>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</si>
  <si>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</si>
  <si>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</si>
  <si>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</si>
  <si>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</si>
  <si>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</si>
  <si>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</si>
  <si>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</si>
  <si>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</si>
  <si>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</si>
  <si>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</si>
  <si>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</si>
  <si>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</si>
  <si>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</si>
  <si>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</si>
  <si>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</si>
  <si>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</si>
  <si>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</si>
  <si>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</si>
  <si>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</si>
  <si>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</si>
  <si>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</si>
  <si>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</si>
  <si>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</si>
  <si>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</si>
  <si>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</si>
  <si>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</si>
  <si>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</si>
  <si>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</si>
  <si>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</si>
  <si>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</si>
  <si>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</si>
  <si>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</si>
  <si>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</si>
  <si>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</si>
  <si>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</si>
  <si>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</si>
  <si>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</si>
  <si>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</si>
  <si>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</si>
  <si>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</si>
  <si>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</si>
  <si>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</si>
  <si>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</si>
  <si>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</si>
  <si>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</si>
  <si>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</si>
  <si>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</si>
  <si>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</si>
  <si>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</si>
  <si>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</si>
  <si>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</si>
  <si>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</si>
  <si>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</si>
  <si>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</si>
  <si>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</si>
  <si>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</si>
  <si>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</si>
  <si>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</si>
  <si>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</si>
  <si>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</si>
  <si>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</si>
  <si>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</si>
  <si>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</si>
  <si>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</si>
  <si>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</si>
  <si>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</si>
  <si>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</si>
  <si>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</si>
  <si>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</si>
  <si>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</si>
  <si>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</si>
  <si>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</si>
  <si>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</si>
  <si>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</si>
  <si>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</si>
  <si>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</si>
  <si>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</si>
  <si>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</si>
  <si>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</si>
  <si>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</si>
  <si>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</si>
  <si>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</si>
  <si>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</si>
  <si>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</si>
  <si>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</si>
  <si>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</si>
  <si>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</si>
  <si>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</si>
  <si>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</si>
  <si>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</si>
  <si>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</si>
  <si>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</si>
  <si>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</si>
  <si>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</si>
  <si>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</si>
  <si>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</si>
  <si>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</si>
  <si>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</si>
  <si>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</si>
  <si>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</si>
  <si>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</si>
  <si>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</si>
  <si>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</si>
  <si>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</si>
  <si>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</si>
  <si>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</si>
  <si>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</si>
  <si>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</si>
  <si>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</si>
  <si>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</si>
  <si>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</si>
  <si>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</si>
  <si>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</si>
  <si>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</si>
  <si>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</si>
  <si>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</si>
  <si>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</si>
  <si>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</si>
  <si>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</si>
  <si>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</si>
  <si>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</si>
  <si>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</si>
  <si>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</si>
  <si>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</si>
  <si>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</si>
  <si>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</si>
  <si>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</si>
  <si>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</si>
  <si>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</si>
  <si>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</si>
  <si>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</si>
  <si>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</si>
  <si>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</si>
  <si>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</si>
  <si>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</si>
  <si>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</si>
  <si>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</si>
  <si>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</si>
  <si>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</si>
  <si>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</si>
  <si>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</si>
  <si>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</si>
  <si>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</si>
  <si>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</si>
  <si>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</si>
  <si>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</si>
  <si>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</si>
  <si>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</si>
  <si>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</si>
  <si>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</si>
  <si>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</si>
  <si>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</si>
  <si>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</si>
  <si>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</si>
  <si>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</si>
  <si>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</si>
  <si>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</si>
  <si>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Providence Health Plan</t>
  </si>
  <si>
    <t>2014</t>
  </si>
  <si>
    <t>PO Box 4327 Portland , OR 97208</t>
  </si>
  <si>
    <t>930863097</t>
  </si>
  <si>
    <t>95005</t>
  </si>
  <si>
    <t>45834</t>
  </si>
  <si>
    <t>323</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</si>
</sst>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500</v>
      </c>
      <c r="B4" s="232" t="s">
        <v>45</v>
      </c>
      <c r="C4" s="378" t="s">
        <v>494</v>
      </c>
    </row>
    <row r="5" spans="1:6" x14ac:dyDescent="0.2">
      <c r="B5" s="232" t="s">
        <v>215</v>
      </c>
      <c r="C5" s="378"/>
    </row>
    <row r="6" spans="1:6" x14ac:dyDescent="0.2">
      <c r="B6" s="232" t="s">
        <v>216</v>
      </c>
      <c r="C6" s="378" t="s">
        <v>497</v>
      </c>
    </row>
    <row r="7" spans="1:6" x14ac:dyDescent="0.2">
      <c r="B7" s="232" t="s">
        <v>128</v>
      </c>
      <c r="C7" s="378"/>
    </row>
    <row r="8" spans="1:6" x14ac:dyDescent="0.2">
      <c r="B8" s="232" t="s">
        <v>36</v>
      </c>
      <c r="C8" s="378"/>
    </row>
    <row r="9" spans="1:6" x14ac:dyDescent="0.2">
      <c r="B9" s="232" t="s">
        <v>41</v>
      </c>
      <c r="C9" s="378" t="s">
        <v>498</v>
      </c>
    </row>
    <row r="10" spans="1:6" x14ac:dyDescent="0.2">
      <c r="B10" s="232" t="s">
        <v>58</v>
      </c>
      <c r="C10" s="378" t="s">
        <v>494</v>
      </c>
    </row>
    <row r="11" spans="1:6" x14ac:dyDescent="0.2">
      <c r="B11" s="232" t="s">
        <v>355</v>
      </c>
      <c r="C11" s="378" t="s">
        <v>499</v>
      </c>
    </row>
    <row r="12" spans="1:6" x14ac:dyDescent="0.2">
      <c r="B12" s="232" t="s">
        <v>35</v>
      </c>
      <c r="C12" s="378" t="s">
        <v>191</v>
      </c>
    </row>
    <row r="13" spans="1:6" x14ac:dyDescent="0.2">
      <c r="B13" s="232" t="s">
        <v>50</v>
      </c>
      <c r="C13" s="378" t="s">
        <v>178</v>
      </c>
    </row>
    <row r="14" spans="1:6" x14ac:dyDescent="0.2">
      <c r="B14" s="232" t="s">
        <v>51</v>
      </c>
      <c r="C14" s="378" t="s">
        <v>496</v>
      </c>
    </row>
    <row r="15" spans="1:6" x14ac:dyDescent="0.2">
      <c r="B15" s="232" t="s">
        <v>217</v>
      </c>
      <c r="C15" s="378" t="s">
        <v>133</v>
      </c>
    </row>
    <row r="16" spans="1:6" x14ac:dyDescent="0.2">
      <c r="B16" s="233" t="s">
        <v>219</v>
      </c>
      <c r="C16" s="380" t="s">
        <v>135</v>
      </c>
    </row>
    <row r="17" spans="1:3" x14ac:dyDescent="0.2">
      <c r="B17" s="232" t="s">
        <v>218</v>
      </c>
      <c r="C17" s="378" t="s">
        <v>133</v>
      </c>
    </row>
    <row r="18" spans="1:3" x14ac:dyDescent="0.2">
      <c r="B18" s="234" t="s">
        <v>53</v>
      </c>
      <c r="C18" s="378" t="s">
        <v>495</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H49" activePane="bottomRight" state="frozen"/>
      <selection activeCell="AS37" sqref="AS37:AS41"/>
      <selection pane="topRight" activeCell="AS37" sqref="AS37:AS41"/>
      <selection pane="bottomLeft" activeCell="AS37" sqref="AS37:AS41"/>
      <selection pane="bottomRight" activeCell="I53" sqref="I53"/>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c r="E5" s="106"/>
      <c r="F5" s="106"/>
      <c r="G5" s="106"/>
      <c r="H5" s="106"/>
      <c r="I5" s="105"/>
      <c r="J5" s="105">
        <v>1209771</v>
      </c>
      <c r="K5" s="106">
        <v>1209771</v>
      </c>
      <c r="L5" s="106"/>
      <c r="M5" s="106"/>
      <c r="N5" s="106"/>
      <c r="O5" s="105"/>
      <c r="P5" s="105">
        <v>31674585</v>
      </c>
      <c r="Q5" s="106">
        <v>31674585</v>
      </c>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f>+'Pt 2 Premium and Claims'!AS5+'Pt 2 Premium and Claims'!AS6-'Pt 2 Premium and Claims'!AS7</f>
        <v>19064412</v>
      </c>
      <c r="AT5" s="107">
        <f>+'Pt 2 Premium and Claims'!AT5+'Pt 2 Premium and Claims'!AT6-'Pt 2 Premium and Claims'!AT7</f>
        <v>271600</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v>-26218</v>
      </c>
      <c r="K8" s="289"/>
      <c r="L8" s="290"/>
      <c r="M8" s="290"/>
      <c r="N8" s="290"/>
      <c r="O8" s="293"/>
      <c r="P8" s="109">
        <v>-274346</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5">
        <f>+'Pt 2 Premium and Claims'!J54</f>
        <v>2196602</v>
      </c>
      <c r="K12" s="106">
        <f>+'Pt 2 Premium and Claims'!K54</f>
        <v>1368762</v>
      </c>
      <c r="L12" s="106"/>
      <c r="M12" s="106"/>
      <c r="N12" s="106"/>
      <c r="O12" s="105"/>
      <c r="P12" s="105">
        <f>+'Pt 2 Premium and Claims'!P54</f>
        <v>31384550</v>
      </c>
      <c r="Q12" s="106">
        <f>+'Pt 2 Premium and Claims'!Q54</f>
        <v>28599405</v>
      </c>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f>+'Pt 2 Premium and Claims'!AS54</f>
        <v>20513244</v>
      </c>
      <c r="AT12" s="107">
        <f>+'Pt 2 Premium and Claims'!AT54</f>
        <v>128918</v>
      </c>
      <c r="AU12" s="107"/>
      <c r="AV12" s="312"/>
      <c r="AW12" s="317"/>
    </row>
    <row r="13" spans="1:49" ht="25.5" x14ac:dyDescent="0.2">
      <c r="B13" s="155" t="s">
        <v>230</v>
      </c>
      <c r="C13" s="62" t="s">
        <v>37</v>
      </c>
      <c r="D13" s="109"/>
      <c r="E13" s="110"/>
      <c r="F13" s="110"/>
      <c r="G13" s="289"/>
      <c r="H13" s="290"/>
      <c r="I13" s="109"/>
      <c r="J13" s="109">
        <v>175163</v>
      </c>
      <c r="K13" s="110">
        <v>173418</v>
      </c>
      <c r="L13" s="110"/>
      <c r="M13" s="289"/>
      <c r="N13" s="290"/>
      <c r="O13" s="109"/>
      <c r="P13" s="109">
        <v>3062731</v>
      </c>
      <c r="Q13" s="110">
        <v>2775792</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1558545</v>
      </c>
      <c r="AT13" s="113"/>
      <c r="AU13" s="113"/>
      <c r="AV13" s="311"/>
      <c r="AW13" s="318"/>
    </row>
    <row r="14" spans="1:49" ht="25.5" x14ac:dyDescent="0.2">
      <c r="B14" s="155" t="s">
        <v>231</v>
      </c>
      <c r="C14" s="62" t="s">
        <v>6</v>
      </c>
      <c r="D14" s="109"/>
      <c r="E14" s="110"/>
      <c r="F14" s="110"/>
      <c r="G14" s="288"/>
      <c r="H14" s="291"/>
      <c r="I14" s="109"/>
      <c r="J14" s="109">
        <v>11567</v>
      </c>
      <c r="K14" s="110">
        <v>11567</v>
      </c>
      <c r="L14" s="110"/>
      <c r="M14" s="288"/>
      <c r="N14" s="291"/>
      <c r="O14" s="109"/>
      <c r="P14" s="109">
        <f>162464+11248</f>
        <v>173712</v>
      </c>
      <c r="Q14" s="110">
        <f>162464+11248</f>
        <v>173712</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3624</v>
      </c>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v>-26218</v>
      </c>
      <c r="K16" s="289"/>
      <c r="L16" s="290"/>
      <c r="M16" s="291"/>
      <c r="N16" s="291"/>
      <c r="O16" s="293"/>
      <c r="P16" s="109">
        <v>-274346</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-29242</v>
      </c>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f>+'Pt 2 Premium and Claims'!AS55</f>
        <v>0</v>
      </c>
      <c r="AT22" s="116">
        <f>+'Pt 2 Premium and Claims'!AT55</f>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v>520</v>
      </c>
      <c r="K26" s="110">
        <v>520</v>
      </c>
      <c r="L26" s="110"/>
      <c r="M26" s="110"/>
      <c r="N26" s="110"/>
      <c r="O26" s="109"/>
      <c r="P26" s="109">
        <v>13177</v>
      </c>
      <c r="Q26" s="110">
        <v>13177</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v>8394</v>
      </c>
      <c r="K27" s="110">
        <v>8394</v>
      </c>
      <c r="L27" s="110"/>
      <c r="M27" s="110"/>
      <c r="N27" s="110"/>
      <c r="O27" s="109"/>
      <c r="P27" s="109">
        <v>219775</v>
      </c>
      <c r="Q27" s="110">
        <v>219775</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132279</v>
      </c>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v>3397</v>
      </c>
      <c r="K30" s="110">
        <v>3397</v>
      </c>
      <c r="L30" s="110"/>
      <c r="M30" s="110"/>
      <c r="N30" s="110"/>
      <c r="O30" s="109"/>
      <c r="P30" s="109">
        <v>88229</v>
      </c>
      <c r="Q30" s="110">
        <v>88229</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v>23188</v>
      </c>
      <c r="K31" s="110">
        <v>23188</v>
      </c>
      <c r="L31" s="110"/>
      <c r="M31" s="110"/>
      <c r="N31" s="110"/>
      <c r="O31" s="109"/>
      <c r="P31" s="109">
        <v>602199</v>
      </c>
      <c r="Q31" s="110">
        <v>602199</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v>16210</v>
      </c>
      <c r="K34" s="110">
        <v>16210</v>
      </c>
      <c r="L34" s="110"/>
      <c r="M34" s="110"/>
      <c r="N34" s="110"/>
      <c r="O34" s="109"/>
      <c r="P34" s="109">
        <v>410400</v>
      </c>
      <c r="Q34" s="110">
        <v>410400</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v>1134</v>
      </c>
      <c r="K35" s="110">
        <v>1134</v>
      </c>
      <c r="L35" s="110"/>
      <c r="M35" s="110"/>
      <c r="N35" s="110"/>
      <c r="O35" s="109"/>
      <c r="P35" s="109">
        <v>29392</v>
      </c>
      <c r="Q35" s="110">
        <v>29392</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v>2196</v>
      </c>
      <c r="K37" s="118">
        <v>2196</v>
      </c>
      <c r="L37" s="118"/>
      <c r="M37" s="118"/>
      <c r="N37" s="118"/>
      <c r="O37" s="117"/>
      <c r="P37" s="117">
        <v>77203</v>
      </c>
      <c r="Q37" s="118">
        <v>77203</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87183</v>
      </c>
      <c r="AT37" s="119"/>
      <c r="AU37" s="119"/>
      <c r="AV37" s="119">
        <v>845044</v>
      </c>
      <c r="AW37" s="317"/>
    </row>
    <row r="38" spans="1:49" x14ac:dyDescent="0.2">
      <c r="B38" s="155" t="s">
        <v>255</v>
      </c>
      <c r="C38" s="62" t="s">
        <v>16</v>
      </c>
      <c r="D38" s="109"/>
      <c r="E38" s="110"/>
      <c r="F38" s="110"/>
      <c r="G38" s="110"/>
      <c r="H38" s="110"/>
      <c r="I38" s="109"/>
      <c r="J38" s="109">
        <v>1647</v>
      </c>
      <c r="K38" s="110">
        <v>1647</v>
      </c>
      <c r="L38" s="110"/>
      <c r="M38" s="110"/>
      <c r="N38" s="110"/>
      <c r="O38" s="109"/>
      <c r="P38" s="109">
        <v>57903</v>
      </c>
      <c r="Q38" s="110">
        <v>57903</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65387</v>
      </c>
      <c r="AT38" s="113"/>
      <c r="AU38" s="113"/>
      <c r="AV38" s="113">
        <v>633783</v>
      </c>
      <c r="AW38" s="318"/>
    </row>
    <row r="39" spans="1:49" x14ac:dyDescent="0.2">
      <c r="B39" s="158" t="s">
        <v>256</v>
      </c>
      <c r="C39" s="62" t="s">
        <v>17</v>
      </c>
      <c r="D39" s="109"/>
      <c r="E39" s="110"/>
      <c r="F39" s="110"/>
      <c r="G39" s="110"/>
      <c r="H39" s="110"/>
      <c r="I39" s="109"/>
      <c r="J39" s="109">
        <v>1373</v>
      </c>
      <c r="K39" s="110">
        <v>1373</v>
      </c>
      <c r="L39" s="110"/>
      <c r="M39" s="110"/>
      <c r="N39" s="110"/>
      <c r="O39" s="109"/>
      <c r="P39" s="109">
        <v>48253</v>
      </c>
      <c r="Q39" s="110">
        <v>48253</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54489</v>
      </c>
      <c r="AT39" s="113"/>
      <c r="AU39" s="113"/>
      <c r="AV39" s="113">
        <v>528152</v>
      </c>
      <c r="AW39" s="318"/>
    </row>
    <row r="40" spans="1:49" x14ac:dyDescent="0.2">
      <c r="B40" s="158" t="s">
        <v>257</v>
      </c>
      <c r="C40" s="62" t="s">
        <v>38</v>
      </c>
      <c r="D40" s="109"/>
      <c r="E40" s="110"/>
      <c r="F40" s="110"/>
      <c r="G40" s="110"/>
      <c r="H40" s="110"/>
      <c r="I40" s="109"/>
      <c r="J40" s="109">
        <v>275</v>
      </c>
      <c r="K40" s="110">
        <v>275</v>
      </c>
      <c r="L40" s="110"/>
      <c r="M40" s="110"/>
      <c r="N40" s="110"/>
      <c r="O40" s="109"/>
      <c r="P40" s="109">
        <v>9651</v>
      </c>
      <c r="Q40" s="110">
        <v>9651</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10898</v>
      </c>
      <c r="AT40" s="113"/>
      <c r="AU40" s="113"/>
      <c r="AV40" s="113">
        <v>105630</v>
      </c>
      <c r="AW40" s="318"/>
    </row>
    <row r="41" spans="1:49" s="5" customFormat="1" ht="25.5" x14ac:dyDescent="0.2">
      <c r="A41" s="35"/>
      <c r="B41" s="158" t="s">
        <v>258</v>
      </c>
      <c r="C41" s="62" t="s">
        <v>129</v>
      </c>
      <c r="D41" s="109"/>
      <c r="E41" s="110"/>
      <c r="F41" s="110"/>
      <c r="G41" s="110"/>
      <c r="H41" s="110"/>
      <c r="I41" s="109"/>
      <c r="J41" s="109">
        <v>3758</v>
      </c>
      <c r="K41" s="110">
        <v>3758</v>
      </c>
      <c r="L41" s="110"/>
      <c r="M41" s="110"/>
      <c r="N41" s="110"/>
      <c r="O41" s="109"/>
      <c r="P41" s="109">
        <v>67900</v>
      </c>
      <c r="Q41" s="110">
        <v>67900</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4695</v>
      </c>
      <c r="AT41" s="113"/>
      <c r="AU41" s="113"/>
      <c r="AV41" s="113">
        <v>27149</v>
      </c>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v>17198</v>
      </c>
      <c r="K44" s="118">
        <v>17198</v>
      </c>
      <c r="L44" s="118"/>
      <c r="M44" s="118"/>
      <c r="N44" s="118"/>
      <c r="O44" s="117"/>
      <c r="P44" s="117">
        <v>188742</v>
      </c>
      <c r="Q44" s="118">
        <v>188742</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21289</v>
      </c>
      <c r="AT44" s="119">
        <v>2251</v>
      </c>
      <c r="AU44" s="119"/>
      <c r="AV44" s="119">
        <v>3376090</v>
      </c>
      <c r="AW44" s="317"/>
    </row>
    <row r="45" spans="1:49" x14ac:dyDescent="0.2">
      <c r="B45" s="161" t="s">
        <v>262</v>
      </c>
      <c r="C45" s="62" t="s">
        <v>19</v>
      </c>
      <c r="D45" s="109"/>
      <c r="E45" s="110"/>
      <c r="F45" s="110"/>
      <c r="G45" s="110"/>
      <c r="H45" s="110"/>
      <c r="I45" s="109"/>
      <c r="J45" s="109">
        <v>30349</v>
      </c>
      <c r="K45" s="110">
        <v>30349</v>
      </c>
      <c r="L45" s="110"/>
      <c r="M45" s="110"/>
      <c r="N45" s="110"/>
      <c r="O45" s="109"/>
      <c r="P45" s="109">
        <v>515990</v>
      </c>
      <c r="Q45" s="110">
        <v>515990</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279930</v>
      </c>
      <c r="AT45" s="113">
        <v>2584</v>
      </c>
      <c r="AU45" s="113"/>
      <c r="AV45" s="113">
        <v>6436335</v>
      </c>
      <c r="AW45" s="318"/>
    </row>
    <row r="46" spans="1:49" x14ac:dyDescent="0.2">
      <c r="B46" s="161" t="s">
        <v>263</v>
      </c>
      <c r="C46" s="62" t="s">
        <v>20</v>
      </c>
      <c r="D46" s="109"/>
      <c r="E46" s="110"/>
      <c r="F46" s="110"/>
      <c r="G46" s="110"/>
      <c r="H46" s="110"/>
      <c r="I46" s="109"/>
      <c r="J46" s="109">
        <v>17183</v>
      </c>
      <c r="K46" s="110">
        <v>17183</v>
      </c>
      <c r="L46" s="110"/>
      <c r="M46" s="110"/>
      <c r="N46" s="110"/>
      <c r="O46" s="109"/>
      <c r="P46" s="109">
        <v>249496</v>
      </c>
      <c r="Q46" s="110">
        <v>249496</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65804</v>
      </c>
      <c r="AT46" s="113"/>
      <c r="AU46" s="113"/>
      <c r="AV46" s="113">
        <v>241683</v>
      </c>
      <c r="AW46" s="318"/>
    </row>
    <row r="47" spans="1:49" x14ac:dyDescent="0.2">
      <c r="B47" s="161" t="s">
        <v>264</v>
      </c>
      <c r="C47" s="62" t="s">
        <v>21</v>
      </c>
      <c r="D47" s="109"/>
      <c r="E47" s="110"/>
      <c r="F47" s="110"/>
      <c r="G47" s="110"/>
      <c r="H47" s="110"/>
      <c r="I47" s="109"/>
      <c r="J47" s="109">
        <v>35990</v>
      </c>
      <c r="K47" s="110">
        <v>35990</v>
      </c>
      <c r="L47" s="110"/>
      <c r="M47" s="110"/>
      <c r="N47" s="110"/>
      <c r="O47" s="109"/>
      <c r="P47" s="109">
        <v>417240</v>
      </c>
      <c r="Q47" s="110">
        <v>417240</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55411</v>
      </c>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v>95998</v>
      </c>
      <c r="Q51" s="110">
        <v>95998</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879361</v>
      </c>
      <c r="AT51" s="113">
        <v>10570</v>
      </c>
      <c r="AU51" s="113"/>
      <c r="AV51" s="113">
        <v>6920145</v>
      </c>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20598595</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v>0</v>
      </c>
      <c r="K56" s="122">
        <v>0</v>
      </c>
      <c r="L56" s="122"/>
      <c r="M56" s="122"/>
      <c r="N56" s="122"/>
      <c r="O56" s="121"/>
      <c r="P56" s="121">
        <v>3703</v>
      </c>
      <c r="Q56" s="122">
        <v>3703</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2020</v>
      </c>
      <c r="AT56" s="123">
        <v>923</v>
      </c>
      <c r="AU56" s="123"/>
      <c r="AV56" s="123">
        <v>24319</v>
      </c>
      <c r="AW56" s="309"/>
    </row>
    <row r="57" spans="2:49" x14ac:dyDescent="0.2">
      <c r="B57" s="161" t="s">
        <v>273</v>
      </c>
      <c r="C57" s="62" t="s">
        <v>25</v>
      </c>
      <c r="D57" s="124"/>
      <c r="E57" s="125"/>
      <c r="F57" s="125"/>
      <c r="G57" s="125"/>
      <c r="H57" s="125"/>
      <c r="I57" s="124"/>
      <c r="J57" s="124">
        <v>0</v>
      </c>
      <c r="K57" s="125">
        <v>0</v>
      </c>
      <c r="L57" s="125"/>
      <c r="M57" s="125"/>
      <c r="N57" s="125"/>
      <c r="O57" s="124"/>
      <c r="P57" s="124">
        <v>6940</v>
      </c>
      <c r="Q57" s="125">
        <v>6940</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2056</v>
      </c>
      <c r="AT57" s="126">
        <v>2392</v>
      </c>
      <c r="AU57" s="126"/>
      <c r="AV57" s="126">
        <v>56845</v>
      </c>
      <c r="AW57" s="310"/>
    </row>
    <row r="58" spans="2:49" x14ac:dyDescent="0.2">
      <c r="B58" s="161" t="s">
        <v>274</v>
      </c>
      <c r="C58" s="62" t="s">
        <v>26</v>
      </c>
      <c r="D58" s="330"/>
      <c r="E58" s="331"/>
      <c r="F58" s="331"/>
      <c r="G58" s="331"/>
      <c r="H58" s="331"/>
      <c r="I58" s="330"/>
      <c r="J58" s="124">
        <v>76</v>
      </c>
      <c r="K58" s="125">
        <v>76</v>
      </c>
      <c r="L58" s="125"/>
      <c r="M58" s="125"/>
      <c r="N58" s="125"/>
      <c r="O58" s="124"/>
      <c r="P58" s="124">
        <v>28</v>
      </c>
      <c r="Q58" s="125">
        <v>28</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5</v>
      </c>
      <c r="AT58" s="126">
        <v>1</v>
      </c>
      <c r="AU58" s="126"/>
      <c r="AV58" s="126">
        <v>7</v>
      </c>
      <c r="AW58" s="310"/>
    </row>
    <row r="59" spans="2:49" x14ac:dyDescent="0.2">
      <c r="B59" s="161" t="s">
        <v>275</v>
      </c>
      <c r="C59" s="62" t="s">
        <v>27</v>
      </c>
      <c r="D59" s="124"/>
      <c r="E59" s="125"/>
      <c r="F59" s="125"/>
      <c r="G59" s="125"/>
      <c r="H59" s="125"/>
      <c r="I59" s="124"/>
      <c r="J59" s="124">
        <v>3092</v>
      </c>
      <c r="K59" s="125">
        <v>3092</v>
      </c>
      <c r="L59" s="125"/>
      <c r="M59" s="125"/>
      <c r="N59" s="125"/>
      <c r="O59" s="124"/>
      <c r="P59" s="124">
        <v>78281</v>
      </c>
      <c r="Q59" s="125">
        <v>78281</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23737</v>
      </c>
      <c r="AT59" s="126">
        <v>22798</v>
      </c>
      <c r="AU59" s="126"/>
      <c r="AV59" s="126">
        <v>666172</v>
      </c>
      <c r="AW59" s="310"/>
    </row>
    <row r="60" spans="2:49" x14ac:dyDescent="0.2">
      <c r="B60" s="161" t="s">
        <v>276</v>
      </c>
      <c r="C60" s="62"/>
      <c r="D60" s="127"/>
      <c r="E60" s="128"/>
      <c r="F60" s="128"/>
      <c r="G60" s="128"/>
      <c r="H60" s="128"/>
      <c r="I60" s="127"/>
      <c r="J60" s="127">
        <v>258</v>
      </c>
      <c r="K60" s="128">
        <v>258</v>
      </c>
      <c r="L60" s="128"/>
      <c r="M60" s="128"/>
      <c r="N60" s="128"/>
      <c r="O60" s="127"/>
      <c r="P60" s="127">
        <v>6523</v>
      </c>
      <c r="Q60" s="128">
        <v>6523</v>
      </c>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v>1978</v>
      </c>
      <c r="AT60" s="129">
        <v>1900</v>
      </c>
      <c r="AU60" s="129"/>
      <c r="AV60" s="129">
        <v>55514</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17" scale="38"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opLeftCell="B1" zoomScale="80" zoomScaleNormal="80" workbookViewId="0">
      <pane xSplit="2" ySplit="4" topLeftCell="I20" activePane="bottomRight" state="frozen"/>
      <selection activeCell="AS37" sqref="AS37:AS41"/>
      <selection pane="topRight" activeCell="AS37" sqref="AS37:AS41"/>
      <selection pane="bottomLeft" activeCell="AS37" sqref="AS37:AS41"/>
      <selection pane="bottomRight" activeCell="B3" sqref="B3"/>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v>1135629</v>
      </c>
      <c r="K5" s="118">
        <v>1135629</v>
      </c>
      <c r="L5" s="118"/>
      <c r="M5" s="118"/>
      <c r="N5" s="118"/>
      <c r="O5" s="117"/>
      <c r="P5" s="117">
        <v>31360199</v>
      </c>
      <c r="Q5" s="118">
        <v>31360199</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19041360</v>
      </c>
      <c r="AT5" s="119">
        <v>271600</v>
      </c>
      <c r="AU5" s="119"/>
      <c r="AV5" s="312"/>
      <c r="AW5" s="317"/>
    </row>
    <row r="6" spans="2:49" x14ac:dyDescent="0.2">
      <c r="B6" s="176" t="s">
        <v>279</v>
      </c>
      <c r="C6" s="133" t="s">
        <v>8</v>
      </c>
      <c r="D6" s="109"/>
      <c r="E6" s="110"/>
      <c r="F6" s="110"/>
      <c r="G6" s="111"/>
      <c r="H6" s="111"/>
      <c r="I6" s="109"/>
      <c r="J6" s="109">
        <v>74142</v>
      </c>
      <c r="K6" s="110">
        <v>74142</v>
      </c>
      <c r="L6" s="110"/>
      <c r="M6" s="110"/>
      <c r="N6" s="110"/>
      <c r="O6" s="109"/>
      <c r="P6" s="109">
        <v>566008</v>
      </c>
      <c r="Q6" s="110">
        <v>566008</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61773</v>
      </c>
      <c r="AT6" s="113"/>
      <c r="AU6" s="113"/>
      <c r="AV6" s="311"/>
      <c r="AW6" s="318"/>
    </row>
    <row r="7" spans="2:49" x14ac:dyDescent="0.2">
      <c r="B7" s="176" t="s">
        <v>280</v>
      </c>
      <c r="C7" s="133" t="s">
        <v>9</v>
      </c>
      <c r="D7" s="109"/>
      <c r="E7" s="110"/>
      <c r="F7" s="110"/>
      <c r="G7" s="111"/>
      <c r="H7" s="111"/>
      <c r="I7" s="109"/>
      <c r="J7" s="109">
        <v>0</v>
      </c>
      <c r="K7" s="110">
        <v>0</v>
      </c>
      <c r="L7" s="110"/>
      <c r="M7" s="110"/>
      <c r="N7" s="110"/>
      <c r="O7" s="109"/>
      <c r="P7" s="109">
        <v>251622</v>
      </c>
      <c r="Q7" s="110">
        <v>251622</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38721</v>
      </c>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v>2272325</v>
      </c>
      <c r="K23" s="288"/>
      <c r="L23" s="288"/>
      <c r="M23" s="288"/>
      <c r="N23" s="288"/>
      <c r="O23" s="292"/>
      <c r="P23" s="109">
        <v>30433752</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19926765</v>
      </c>
      <c r="AT23" s="113">
        <v>128918</v>
      </c>
      <c r="AU23" s="113"/>
      <c r="AV23" s="311"/>
      <c r="AW23" s="318"/>
    </row>
    <row r="24" spans="2:49" ht="28.5" customHeight="1" x14ac:dyDescent="0.2">
      <c r="B24" s="178" t="s">
        <v>114</v>
      </c>
      <c r="C24" s="133"/>
      <c r="D24" s="293"/>
      <c r="E24" s="110"/>
      <c r="F24" s="110"/>
      <c r="G24" s="110"/>
      <c r="H24" s="110"/>
      <c r="I24" s="109"/>
      <c r="J24" s="293"/>
      <c r="K24" s="110">
        <f>917902+7067+173418+182552+26573-26218+1586+84108-10408-1159</f>
        <v>1355421</v>
      </c>
      <c r="L24" s="110"/>
      <c r="M24" s="110"/>
      <c r="N24" s="110"/>
      <c r="O24" s="109"/>
      <c r="P24" s="293"/>
      <c r="Q24" s="110">
        <f>23568147+349434+2775792+1942696+37876-274346+2880+78008-162464-11248-39023-1340</f>
        <v>28266412</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v>211326</v>
      </c>
      <c r="K26" s="288"/>
      <c r="L26" s="288"/>
      <c r="M26" s="288"/>
      <c r="N26" s="288"/>
      <c r="O26" s="292"/>
      <c r="P26" s="109">
        <v>3031781</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1915986</v>
      </c>
      <c r="AT26" s="113"/>
      <c r="AU26" s="113"/>
      <c r="AV26" s="311"/>
      <c r="AW26" s="318"/>
    </row>
    <row r="27" spans="2:49" s="5" customFormat="1" ht="25.5" x14ac:dyDescent="0.2">
      <c r="B27" s="178" t="s">
        <v>85</v>
      </c>
      <c r="C27" s="133"/>
      <c r="D27" s="293"/>
      <c r="E27" s="110"/>
      <c r="F27" s="110"/>
      <c r="G27" s="110"/>
      <c r="H27" s="110"/>
      <c r="I27" s="109"/>
      <c r="J27" s="293"/>
      <c r="K27" s="110">
        <v>13341</v>
      </c>
      <c r="L27" s="110"/>
      <c r="M27" s="110"/>
      <c r="N27" s="110"/>
      <c r="O27" s="109"/>
      <c r="P27" s="293"/>
      <c r="Q27" s="110">
        <v>292630</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v>292364</v>
      </c>
      <c r="K28" s="289"/>
      <c r="L28" s="289"/>
      <c r="M28" s="289"/>
      <c r="N28" s="289"/>
      <c r="O28" s="293"/>
      <c r="P28" s="109">
        <v>2160626</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2434794</v>
      </c>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v>39023</v>
      </c>
      <c r="Q45" s="110">
        <v>39023</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841652</v>
      </c>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v>1340</v>
      </c>
      <c r="Q46" s="110">
        <v>1340</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1263763</v>
      </c>
      <c r="AT46" s="113"/>
      <c r="AU46" s="113"/>
      <c r="AV46" s="311"/>
      <c r="AW46" s="318"/>
    </row>
    <row r="47" spans="2:49" x14ac:dyDescent="0.2">
      <c r="B47" s="176" t="s">
        <v>117</v>
      </c>
      <c r="C47" s="133" t="s">
        <v>32</v>
      </c>
      <c r="D47" s="109"/>
      <c r="E47" s="289"/>
      <c r="F47" s="289"/>
      <c r="G47" s="289"/>
      <c r="H47" s="289"/>
      <c r="I47" s="293"/>
      <c r="J47" s="109">
        <v>-5315</v>
      </c>
      <c r="K47" s="289"/>
      <c r="L47" s="289"/>
      <c r="M47" s="289"/>
      <c r="N47" s="289"/>
      <c r="O47" s="293"/>
      <c r="P47" s="109">
        <v>-39280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1000128</v>
      </c>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c r="E54" s="115"/>
      <c r="F54" s="115"/>
      <c r="G54" s="115"/>
      <c r="H54" s="115"/>
      <c r="I54" s="114"/>
      <c r="J54" s="114">
        <f>+J23+J26-J28+J45+J46-J47</f>
        <v>2196602</v>
      </c>
      <c r="K54" s="115">
        <f>+K24+K27</f>
        <v>1368762</v>
      </c>
      <c r="L54" s="115"/>
      <c r="M54" s="115"/>
      <c r="N54" s="115"/>
      <c r="O54" s="114"/>
      <c r="P54" s="114">
        <f>+P23+P26-P28+P45+P46-P47</f>
        <v>31384550</v>
      </c>
      <c r="Q54" s="115">
        <f>+Q24+Q27+Q45+Q46</f>
        <v>28599405</v>
      </c>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f>+AS23+AS26-AS28+AS45+AS46-AS47</f>
        <v>20513244</v>
      </c>
      <c r="AT54" s="116">
        <f>+AT23</f>
        <v>128918</v>
      </c>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xWindow="1767" yWindow="1044"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17" scale="38"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I33" activePane="bottomRight" state="frozen"/>
      <selection activeCell="AS37" sqref="AS37:AS41"/>
      <selection pane="topRight" activeCell="AS37" sqref="AS37:AS41"/>
      <selection pane="bottomLeft" activeCell="AS37" sqref="AS37:AS41"/>
      <selection pane="bottomRight" activeCell="K41" sqref="K41"/>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v>2395307</v>
      </c>
      <c r="I5" s="118">
        <v>3080999</v>
      </c>
      <c r="J5" s="346"/>
      <c r="K5" s="346"/>
      <c r="L5" s="312"/>
      <c r="M5" s="117">
        <v>22693094</v>
      </c>
      <c r="N5" s="118">
        <v>26320974</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v>2292083</v>
      </c>
      <c r="I6" s="110">
        <v>2912898</v>
      </c>
      <c r="J6" s="115">
        <f>+'Pt 1 Summary of Data'!K12+'Pt 1 Summary of Data'!K22</f>
        <v>1368762</v>
      </c>
      <c r="K6" s="115">
        <f>+H6+I6+J6</f>
        <v>6573743</v>
      </c>
      <c r="L6" s="116"/>
      <c r="M6" s="109">
        <v>21878909</v>
      </c>
      <c r="N6" s="110">
        <f>24966148+1881</f>
        <v>24968029</v>
      </c>
      <c r="O6" s="115">
        <f>+'Pt 1 Summary of Data'!Q12+'Pt 1 Summary of Data'!Q22</f>
        <v>28599405</v>
      </c>
      <c r="P6" s="115">
        <f>+M6+N6+O6</f>
        <v>75446343</v>
      </c>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v>12200</v>
      </c>
      <c r="I7" s="110">
        <v>26595</v>
      </c>
      <c r="J7" s="115">
        <f>+'Pt 1 Summary of Data'!K37+'Pt 1 Summary of Data'!K38+'Pt 1 Summary of Data'!K39+'Pt 1 Summary of Data'!K40+'Pt 1 Summary of Data'!K41+'Pt 1 Summary of Data'!K42</f>
        <v>9249</v>
      </c>
      <c r="K7" s="115">
        <f>+J7+I7+H7</f>
        <v>48044</v>
      </c>
      <c r="L7" s="116"/>
      <c r="M7" s="109">
        <v>110198</v>
      </c>
      <c r="N7" s="110">
        <v>220773</v>
      </c>
      <c r="O7" s="115">
        <f>+'Pt 1 Summary of Data'!Q37+'Pt 1 Summary of Data'!Q38+'Pt 1 Summary of Data'!Q39+'Pt 1 Summary of Data'!Q40+'Pt 1 Summary of Data'!Q41+'Pt 1 Summary of Data'!Q42</f>
        <v>260910</v>
      </c>
      <c r="P7" s="115">
        <f>+M7+N7+O7</f>
        <v>591881</v>
      </c>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f>+H6+H7</f>
        <v>2304283</v>
      </c>
      <c r="I12" s="115">
        <f>+I6+I7</f>
        <v>2939493</v>
      </c>
      <c r="J12" s="115">
        <f>+J6+J7+J10+J11</f>
        <v>1378011</v>
      </c>
      <c r="K12" s="115">
        <f>+J12+I12+H12</f>
        <v>6621787</v>
      </c>
      <c r="L12" s="311"/>
      <c r="M12" s="114">
        <f>+M6+M7</f>
        <v>21989107</v>
      </c>
      <c r="N12" s="115">
        <f>+N6+N7</f>
        <v>25188802</v>
      </c>
      <c r="O12" s="115">
        <f>+O6+O7</f>
        <v>28860315</v>
      </c>
      <c r="P12" s="115">
        <f>+M12+N12+O12</f>
        <v>76038224</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f>3098763-11269</f>
        <v>3087494</v>
      </c>
      <c r="I15" s="118">
        <v>3669796</v>
      </c>
      <c r="J15" s="106">
        <f>+'Pt 1 Summary of Data'!K5+'Pt 1 Summary of Data'!K6+'Pt 1 Summary of Data'!K7</f>
        <v>1209771</v>
      </c>
      <c r="K15" s="106">
        <f>+J15+I15+H15</f>
        <v>7967061</v>
      </c>
      <c r="L15" s="107"/>
      <c r="M15" s="117">
        <f>26523407-106559</f>
        <v>26416848</v>
      </c>
      <c r="N15" s="118">
        <v>28164033</v>
      </c>
      <c r="O15" s="106">
        <f>+'Pt 1 Summary of Data'!Q5+'Pt 1 Summary of Data'!Q6+'Pt 1 Summary of Data'!Q7</f>
        <v>31674585</v>
      </c>
      <c r="P15" s="106">
        <f>+M15+N15+O15</f>
        <v>86255466</v>
      </c>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f>74342+1702</f>
        <v>76044</v>
      </c>
      <c r="I16" s="110">
        <v>52526</v>
      </c>
      <c r="J16" s="115">
        <f>+'Pt 1 Summary of Data'!K26+'Pt 1 Summary of Data'!K27+'Pt 1 Summary of Data'!K30+'Pt 1 Summary of Data'!K31+'Pt 1 Summary of Data'!K34+'Pt 1 Summary of Data'!K35</f>
        <v>52843</v>
      </c>
      <c r="K16" s="115">
        <f>+J16+I16+H16</f>
        <v>181413</v>
      </c>
      <c r="L16" s="116"/>
      <c r="M16" s="109">
        <f>636316+14565</f>
        <v>650881</v>
      </c>
      <c r="N16" s="110">
        <v>388177</v>
      </c>
      <c r="O16" s="115">
        <f>+'Pt 1 Summary of Data'!Q26+'Pt 1 Summary of Data'!Q27+'Pt 1 Summary of Data'!Q30+'Pt 1 Summary of Data'!Q31+'Pt 1 Summary of Data'!Q34+'Pt 1 Summary of Data'!Q35</f>
        <v>1363172</v>
      </c>
      <c r="P16" s="115">
        <f>+M16+N16+O16</f>
        <v>2402230</v>
      </c>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f>+H15-H16</f>
        <v>3011450</v>
      </c>
      <c r="I17" s="115">
        <f>+I15-I16</f>
        <v>3617270</v>
      </c>
      <c r="J17" s="115">
        <f>+J15-J16</f>
        <v>1156928</v>
      </c>
      <c r="K17" s="115">
        <f>+J17+I17+H17</f>
        <v>7785648</v>
      </c>
      <c r="L17" s="314"/>
      <c r="M17" s="114">
        <f>+M15-M16</f>
        <v>25765967</v>
      </c>
      <c r="N17" s="115">
        <f>+N15-N16</f>
        <v>27775856</v>
      </c>
      <c r="O17" s="115">
        <f>+O15-O16</f>
        <v>30311413</v>
      </c>
      <c r="P17" s="115">
        <f>+M17+N17+O17</f>
        <v>83853236</v>
      </c>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c r="F37" s="256"/>
      <c r="G37" s="312"/>
      <c r="H37" s="121">
        <v>578</v>
      </c>
      <c r="I37" s="122">
        <v>769</v>
      </c>
      <c r="J37" s="256">
        <v>258</v>
      </c>
      <c r="K37" s="256">
        <f>+J37+I37+H37</f>
        <v>1605</v>
      </c>
      <c r="L37" s="312"/>
      <c r="M37" s="121">
        <v>5469</v>
      </c>
      <c r="N37" s="122">
        <v>5684</v>
      </c>
      <c r="O37" s="256">
        <v>6523</v>
      </c>
      <c r="P37" s="256">
        <f>+M37+N37+O37</f>
        <v>17676</v>
      </c>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f>0.083-0.0125033333333333</f>
        <v>7.0496666666666707E-2</v>
      </c>
      <c r="L38" s="353"/>
      <c r="M38" s="351"/>
      <c r="N38" s="352"/>
      <c r="O38" s="352"/>
      <c r="P38" s="267">
        <f>0.026-0.00511733333333</f>
        <v>2.0882666666669998E-2</v>
      </c>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v>2300</v>
      </c>
      <c r="L39" s="311"/>
      <c r="M39" s="292"/>
      <c r="N39" s="288"/>
      <c r="O39" s="288"/>
      <c r="P39" s="110">
        <v>2300</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v>1</v>
      </c>
      <c r="L40" s="311"/>
      <c r="M40" s="292"/>
      <c r="N40" s="288"/>
      <c r="O40" s="288"/>
      <c r="P40" s="258">
        <v>1</v>
      </c>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v>7.0499999999999993E-2</v>
      </c>
      <c r="L41" s="311"/>
      <c r="M41" s="292"/>
      <c r="N41" s="288"/>
      <c r="O41" s="288"/>
      <c r="P41" s="260">
        <f>P38*P40</f>
        <v>2.0882666666669998E-2</v>
      </c>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f>+H12/H17</f>
        <v>0.76517391954042069</v>
      </c>
      <c r="I44" s="260">
        <f>+I12/I17</f>
        <v>0.81262747873396235</v>
      </c>
      <c r="J44" s="260">
        <f>+J12/J17</f>
        <v>1.1910948650218509</v>
      </c>
      <c r="K44" s="260">
        <f>+K12/K17</f>
        <v>0.85051199334981498</v>
      </c>
      <c r="L44" s="311"/>
      <c r="M44" s="262">
        <f>+M12/M17</f>
        <v>0.85341671826250498</v>
      </c>
      <c r="N44" s="260">
        <v>0.90600000000000003</v>
      </c>
      <c r="O44" s="260">
        <f>+O12/O17</f>
        <v>0.95212700905761138</v>
      </c>
      <c r="P44" s="260">
        <f>+P12/P17</f>
        <v>0.9068013069883194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v>7.0499999999999993E-2</v>
      </c>
      <c r="L46" s="311"/>
      <c r="M46" s="292"/>
      <c r="N46" s="288"/>
      <c r="O46" s="288"/>
      <c r="P46" s="260">
        <f>+P41</f>
        <v>2.0882666666669998E-2</v>
      </c>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f>+K44+K46</f>
        <v>0.92101199334981498</v>
      </c>
      <c r="L47" s="311"/>
      <c r="M47" s="292"/>
      <c r="N47" s="288"/>
      <c r="O47" s="288"/>
      <c r="P47" s="260">
        <f>+P44+P46</f>
        <v>0.92768397365498945</v>
      </c>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v>0.8</v>
      </c>
      <c r="L49" s="312"/>
      <c r="M49" s="140"/>
      <c r="N49" s="141"/>
      <c r="O49" s="141"/>
      <c r="P49" s="141">
        <v>0.85</v>
      </c>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v>0.92100000000000004</v>
      </c>
      <c r="L50" s="311"/>
      <c r="M50" s="293"/>
      <c r="N50" s="289"/>
      <c r="O50" s="289"/>
      <c r="P50" s="260">
        <v>0.92800000000000005</v>
      </c>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f>+J15-J16</f>
        <v>1156928</v>
      </c>
      <c r="L51" s="311"/>
      <c r="M51" s="292"/>
      <c r="N51" s="288"/>
      <c r="O51" s="288"/>
      <c r="P51" s="115">
        <f>+O15-O16</f>
        <v>30311413</v>
      </c>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v>0</v>
      </c>
      <c r="L52" s="311"/>
      <c r="M52" s="292"/>
      <c r="N52" s="288"/>
      <c r="O52" s="288"/>
      <c r="P52" s="115">
        <v>0</v>
      </c>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17" scale="48"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5" sqref="D5"/>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3703</v>
      </c>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!Coakley, Tony</cp:lastModifiedBy>
  <cp:lastPrinted>2015-08-04T15:41:38Z</cp:lastPrinted>
  <dcterms:created xsi:type="dcterms:W3CDTF">2012-03-15T16:14:51Z</dcterms:created>
  <dcterms:modified xsi:type="dcterms:W3CDTF">2015-08-05T00:03:26Z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