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Departments\Compliance\2014 MLR &amp; Risk Corridor HIOS Submission\MLR &amp; RC Resubmission 092015\FINAL\"/>
    </mc:Choice>
  </mc:AlternateContent>
  <workbookProtection workbookPassword="D429" lockStructure="1"/>
  <bookViews>
    <workbookView xWindow="0" yWindow="0" windowWidth="14280" windowHeight="7680" tabRatio="836" firstSheet="4"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M37" i="10" l="1"/>
  <c r="AB40" i="10"/>
  <c r="AA37" i="10"/>
  <c r="AB37" i="10" s="1"/>
  <c r="X40" i="10"/>
  <c r="T40" i="10"/>
  <c r="AN47" i="10"/>
  <c r="AN50" i="10" s="1"/>
  <c r="AN46" i="10"/>
  <c r="AB47" i="10"/>
  <c r="AB50" i="10" s="1"/>
  <c r="AB46" i="10"/>
  <c r="X47" i="10"/>
  <c r="X50" i="10" s="1"/>
  <c r="X46" i="10"/>
  <c r="T47" i="10"/>
  <c r="T50" i="10" s="1"/>
  <c r="T46" i="10"/>
  <c r="P40" i="10"/>
  <c r="O37" i="10"/>
  <c r="P37" i="10" s="1"/>
  <c r="K40" i="10"/>
  <c r="F40" i="10"/>
  <c r="S16" i="10"/>
  <c r="T16" i="10" s="1"/>
  <c r="W16" i="10"/>
  <c r="X16" i="10" s="1"/>
  <c r="AA16" i="10"/>
  <c r="AB16" i="10" s="1"/>
  <c r="Z17" i="10"/>
  <c r="Z45" i="10" s="1"/>
  <c r="Y17" i="10"/>
  <c r="Y45" i="10" s="1"/>
  <c r="O16" i="10"/>
  <c r="N17" i="10"/>
  <c r="N44" i="10" s="1"/>
  <c r="M17" i="10"/>
  <c r="M44" i="10" s="1"/>
  <c r="L16" i="10"/>
  <c r="J16" i="10"/>
  <c r="K16" i="10" s="1"/>
  <c r="G16" i="10"/>
  <c r="E16" i="10"/>
  <c r="F16" i="10" s="1"/>
  <c r="Z13" i="10"/>
  <c r="Y13" i="10"/>
  <c r="N12" i="10"/>
  <c r="M12" i="10"/>
  <c r="J11" i="10"/>
  <c r="K11" i="10" s="1"/>
  <c r="L10" i="10"/>
  <c r="J10" i="10"/>
  <c r="K10" i="10" s="1"/>
  <c r="G9" i="10"/>
  <c r="E9" i="10"/>
  <c r="F9" i="10" s="1"/>
  <c r="G10" i="10"/>
  <c r="E10" i="10"/>
  <c r="F10" i="10" s="1"/>
  <c r="E11" i="10"/>
  <c r="F11" i="10" s="1"/>
  <c r="AL17" i="10"/>
  <c r="AL45" i="10" s="1"/>
  <c r="AM16" i="10"/>
  <c r="AL13" i="10"/>
  <c r="AU55" i="18"/>
  <c r="AT55" i="18"/>
  <c r="AT22" i="4" s="1"/>
  <c r="AS55" i="18"/>
  <c r="AS22" i="4" s="1"/>
  <c r="AR55" i="18"/>
  <c r="AR22" i="4" s="1"/>
  <c r="AQ55" i="18"/>
  <c r="AQ22" i="4" s="1"/>
  <c r="AP55" i="18"/>
  <c r="AP22" i="4" s="1"/>
  <c r="AO55" i="18"/>
  <c r="AO22" i="4" s="1"/>
  <c r="AN55" i="18"/>
  <c r="AN22" i="4" s="1"/>
  <c r="AC55" i="18"/>
  <c r="AB55" i="18"/>
  <c r="AB22" i="4" s="1"/>
  <c r="AA55" i="18"/>
  <c r="AA22" i="4" s="1"/>
  <c r="Z55" i="18"/>
  <c r="Z22" i="4" s="1"/>
  <c r="Y55" i="18"/>
  <c r="Y22" i="4" s="1"/>
  <c r="X55" i="18"/>
  <c r="X22" i="4" s="1"/>
  <c r="W55" i="18"/>
  <c r="W22" i="4" s="1"/>
  <c r="V55" i="18"/>
  <c r="V22" i="4" s="1"/>
  <c r="U55" i="18"/>
  <c r="T55" i="18"/>
  <c r="S55" i="18"/>
  <c r="R55" i="18"/>
  <c r="R22" i="4" s="1"/>
  <c r="Q55" i="18"/>
  <c r="Q22" i="4" s="1"/>
  <c r="P55" i="18"/>
  <c r="P22" i="4" s="1"/>
  <c r="O55" i="18"/>
  <c r="O22" i="4" s="1"/>
  <c r="N55" i="18"/>
  <c r="N22" i="4" s="1"/>
  <c r="M55" i="18"/>
  <c r="L55" i="18"/>
  <c r="L22" i="4" s="1"/>
  <c r="K55" i="18"/>
  <c r="K22" i="4" s="1"/>
  <c r="J55" i="18"/>
  <c r="J22" i="4" s="1"/>
  <c r="I55" i="18"/>
  <c r="I22" i="4" s="1"/>
  <c r="H55" i="18"/>
  <c r="H22" i="4" s="1"/>
  <c r="G55" i="18"/>
  <c r="F55" i="18"/>
  <c r="F22" i="4" s="1"/>
  <c r="E55" i="18"/>
  <c r="E22" i="4" s="1"/>
  <c r="D55" i="18"/>
  <c r="D22" i="4" s="1"/>
  <c r="AU54" i="18"/>
  <c r="AU12" i="4" s="1"/>
  <c r="AT54" i="18"/>
  <c r="AT12" i="4" s="1"/>
  <c r="AS54" i="18"/>
  <c r="AS12" i="4" s="1"/>
  <c r="AR54" i="18"/>
  <c r="AR12" i="4" s="1"/>
  <c r="AQ54" i="18"/>
  <c r="AQ12" i="4" s="1"/>
  <c r="AP54" i="18"/>
  <c r="AP12" i="4" s="1"/>
  <c r="AO54" i="18"/>
  <c r="AO12" i="4" s="1"/>
  <c r="AN54" i="18"/>
  <c r="AN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U22" i="4"/>
  <c r="T22" i="4"/>
  <c r="S22" i="4"/>
  <c r="M22" i="4"/>
  <c r="G22" i="4"/>
  <c r="AU22" i="4"/>
  <c r="AU5" i="4"/>
  <c r="AT5" i="4"/>
  <c r="AS5" i="4"/>
  <c r="AR5" i="4"/>
  <c r="AQ5" i="4"/>
  <c r="AP5" i="4"/>
  <c r="AO5" i="4"/>
  <c r="AN5" i="4"/>
  <c r="AC5" i="4"/>
  <c r="AB5" i="4"/>
  <c r="AA7" i="10" s="1"/>
  <c r="AA5" i="4"/>
  <c r="Z5" i="4"/>
  <c r="Y5" i="4"/>
  <c r="W7" i="10" s="1"/>
  <c r="X7" i="10" s="1"/>
  <c r="X5" i="4"/>
  <c r="W5" i="4"/>
  <c r="V5" i="4"/>
  <c r="S15" i="10" s="1"/>
  <c r="U5" i="4"/>
  <c r="T5" i="4"/>
  <c r="S5" i="4"/>
  <c r="R5" i="4"/>
  <c r="Q5" i="4"/>
  <c r="P5" i="4"/>
  <c r="O5" i="4"/>
  <c r="N5" i="4"/>
  <c r="M5" i="4"/>
  <c r="L5" i="4"/>
  <c r="K5" i="4"/>
  <c r="J5" i="4"/>
  <c r="I5" i="4"/>
  <c r="H5" i="4"/>
  <c r="G5" i="4"/>
  <c r="F5" i="4"/>
  <c r="E5" i="4"/>
  <c r="D5" i="4"/>
  <c r="S6" i="10" l="1"/>
  <c r="T6" i="10" s="1"/>
  <c r="AA6" i="10"/>
  <c r="AB6" i="10" s="1"/>
  <c r="L6" i="10"/>
  <c r="G6" i="10"/>
  <c r="W6" i="10"/>
  <c r="X6" i="10" s="1"/>
  <c r="O6" i="10"/>
  <c r="P6" i="10" s="1"/>
  <c r="AM6" i="10"/>
  <c r="AN6" i="10" s="1"/>
  <c r="J6" i="10"/>
  <c r="K6" i="10" s="1"/>
  <c r="E6" i="10"/>
  <c r="F6" i="10" s="1"/>
  <c r="AA13" i="10"/>
  <c r="O7" i="10"/>
  <c r="P7" i="10" s="1"/>
  <c r="G7" i="10"/>
  <c r="AA15" i="10"/>
  <c r="AB15" i="10" s="1"/>
  <c r="AB17" i="10" s="1"/>
  <c r="AB45" i="10" s="1"/>
  <c r="W15" i="10"/>
  <c r="X15" i="10" s="1"/>
  <c r="O15" i="10"/>
  <c r="P15" i="10" s="1"/>
  <c r="L15" i="10"/>
  <c r="AM7" i="10"/>
  <c r="AN7" i="10" s="1"/>
  <c r="L7" i="10"/>
  <c r="AM15" i="10"/>
  <c r="AN15" i="10" s="1"/>
  <c r="E15" i="10"/>
  <c r="F15" i="10" s="1"/>
  <c r="S7" i="10"/>
  <c r="T7" i="10" s="1"/>
  <c r="AB41" i="10"/>
  <c r="AB51" i="10"/>
  <c r="AN37" i="10"/>
  <c r="AN16" i="10"/>
  <c r="AB7" i="10"/>
  <c r="P16" i="10"/>
  <c r="AM17" i="10"/>
  <c r="AM45" i="10" s="1"/>
  <c r="T15" i="10"/>
  <c r="J15" i="10"/>
  <c r="K15" i="10" s="1"/>
  <c r="G15" i="10"/>
  <c r="J7" i="10"/>
  <c r="E7" i="10"/>
  <c r="F7" i="10" s="1"/>
  <c r="X17" i="10" l="1"/>
  <c r="U17" i="10"/>
  <c r="U45" i="10" s="1"/>
  <c r="AA17" i="10"/>
  <c r="AA45" i="10" s="1"/>
  <c r="AB38" i="10" s="1"/>
  <c r="AN17" i="10"/>
  <c r="AN52" i="10" s="1"/>
  <c r="L25" i="10"/>
  <c r="V13" i="10"/>
  <c r="D12" i="10"/>
  <c r="L20" i="10"/>
  <c r="G20" i="10"/>
  <c r="AB13" i="10"/>
  <c r="O12" i="10"/>
  <c r="P12" i="10" s="1"/>
  <c r="AM13" i="10"/>
  <c r="AN13" i="10" s="1"/>
  <c r="P17" i="10"/>
  <c r="W17" i="10"/>
  <c r="W13" i="10"/>
  <c r="U13" i="10"/>
  <c r="V17" i="10"/>
  <c r="V45" i="10" s="1"/>
  <c r="P51" i="10"/>
  <c r="W37" i="10"/>
  <c r="X37" i="10" s="1"/>
  <c r="L19" i="10"/>
  <c r="L29" i="10"/>
  <c r="O17" i="10"/>
  <c r="L21" i="10"/>
  <c r="L28" i="10"/>
  <c r="AN38" i="10"/>
  <c r="AN51" i="10"/>
  <c r="AB52" i="10"/>
  <c r="S17" i="10"/>
  <c r="R17" i="10"/>
  <c r="R45" i="10" s="1"/>
  <c r="Q13" i="10"/>
  <c r="S13" i="10"/>
  <c r="T17" i="10"/>
  <c r="Q17" i="10"/>
  <c r="R13" i="10"/>
  <c r="S37" i="10"/>
  <c r="F17" i="10"/>
  <c r="D17" i="10"/>
  <c r="C17" i="10"/>
  <c r="E37" i="10"/>
  <c r="G28" i="10"/>
  <c r="G29" i="10"/>
  <c r="G25" i="10"/>
  <c r="G19" i="10"/>
  <c r="K7" i="10"/>
  <c r="I12" i="10" s="1"/>
  <c r="E17" i="10"/>
  <c r="E12" i="10"/>
  <c r="C12" i="10"/>
  <c r="AN45" i="10" l="1"/>
  <c r="G24" i="10"/>
  <c r="G23" i="10" s="1"/>
  <c r="G27" i="10" s="1"/>
  <c r="G31" i="10" s="1"/>
  <c r="G32" i="10" s="1"/>
  <c r="G33" i="10" s="1"/>
  <c r="P44" i="10"/>
  <c r="D44" i="10"/>
  <c r="L24" i="10"/>
  <c r="L23" i="10" s="1"/>
  <c r="L27" i="10" s="1"/>
  <c r="L26" i="10" s="1"/>
  <c r="L30" i="10" s="1"/>
  <c r="O44" i="10"/>
  <c r="P38" i="10" s="1"/>
  <c r="P41" i="10" s="1"/>
  <c r="P46" i="10" s="1"/>
  <c r="P47" i="10" s="1"/>
  <c r="P50" i="10" s="1"/>
  <c r="P52" i="10" s="1"/>
  <c r="W45" i="10"/>
  <c r="X38" i="10" s="1"/>
  <c r="X13" i="10"/>
  <c r="J17" i="10"/>
  <c r="K17" i="10"/>
  <c r="H12" i="10"/>
  <c r="J37" i="10"/>
  <c r="K37" i="10" s="1"/>
  <c r="H17" i="10"/>
  <c r="H44" i="10" s="1"/>
  <c r="S45" i="10"/>
  <c r="T37" i="10"/>
  <c r="Q45" i="10"/>
  <c r="T13" i="10"/>
  <c r="X51" i="10"/>
  <c r="X45" i="10"/>
  <c r="X41" i="10"/>
  <c r="X52" i="10"/>
  <c r="I17" i="10"/>
  <c r="I44" i="10" s="1"/>
  <c r="G21" i="10"/>
  <c r="J12" i="10"/>
  <c r="F37" i="10"/>
  <c r="E44" i="10"/>
  <c r="C44" i="10"/>
  <c r="F12" i="10"/>
  <c r="L31" i="10" l="1"/>
  <c r="L32" i="10" s="1"/>
  <c r="L33" i="10" s="1"/>
  <c r="J44" i="10"/>
  <c r="K38" i="10" s="1"/>
  <c r="G26" i="10"/>
  <c r="G30" i="10" s="1"/>
  <c r="T45" i="10"/>
  <c r="T51" i="10"/>
  <c r="T38" i="10"/>
  <c r="T41" i="10"/>
  <c r="T52" i="10"/>
  <c r="K12" i="10"/>
  <c r="F44" i="10"/>
  <c r="F51" i="10"/>
  <c r="F41" i="10"/>
  <c r="F38" i="10"/>
  <c r="K41" i="10"/>
  <c r="K52" i="10"/>
  <c r="K51" i="10"/>
  <c r="K44" i="10"/>
  <c r="K46" i="10" l="1"/>
  <c r="K47" i="10"/>
  <c r="K50" i="10" s="1"/>
  <c r="F46" i="10"/>
  <c r="F47" i="10" s="1"/>
  <c r="F50" i="10" s="1"/>
  <c r="F52" i="10" s="1"/>
</calcChain>
</file>

<file path=xl/sharedStrings.xml><?xml version="1.0" encoding="utf-8"?>
<sst xmlns="http://schemas.openxmlformats.org/spreadsheetml/2006/main" count="594" uniqueCount="524">
  <si>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</si>
  <si>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</si>
  <si>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</si>
  <si>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</si>
  <si>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</si>
  <si>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</si>
  <si>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</si>
  <si>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</si>
  <si>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</si>
  <si>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</si>
  <si>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</si>
  <si>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</si>
  <si>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</si>
  <si>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</si>
  <si>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</si>
  <si>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</si>
  <si>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</si>
  <si>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</si>
  <si>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</si>
  <si>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</si>
  <si>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</si>
  <si>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</si>
  <si>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</si>
  <si>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</si>
  <si>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</si>
  <si>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</si>
  <si>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</si>
  <si>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</si>
  <si>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</si>
  <si>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</si>
  <si>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</si>
  <si>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</si>
  <si>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</si>
  <si>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</si>
  <si>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</si>
  <si>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</si>
  <si>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</si>
  <si>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</si>
  <si>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</si>
  <si>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</si>
  <si>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</si>
  <si>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</si>
  <si>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</si>
  <si>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</si>
  <si>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</si>
  <si>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</si>
  <si>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</si>
  <si>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</si>
  <si>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</si>
  <si>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</si>
  <si>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</si>
  <si>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</si>
  <si>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</si>
  <si>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</si>
  <si>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</si>
  <si>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</si>
  <si>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</si>
  <si>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</si>
  <si>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</si>
  <si>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</si>
  <si>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</si>
  <si>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</si>
  <si>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</si>
  <si>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</si>
  <si>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</si>
  <si>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</si>
  <si>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</si>
  <si>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</si>
  <si>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</si>
  <si>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</si>
  <si>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</si>
  <si>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</si>
  <si>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</si>
  <si>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</si>
  <si>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</si>
  <si>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</si>
  <si>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</si>
  <si>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</si>
  <si>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</si>
  <si>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</si>
  <si>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</si>
  <si>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</si>
  <si>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</si>
  <si>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</si>
  <si>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</si>
  <si>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</si>
  <si>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</si>
  <si>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</si>
  <si>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</si>
  <si>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</si>
  <si>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</si>
  <si>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</si>
  <si>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</si>
  <si>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</si>
  <si>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</si>
  <si>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</si>
  <si>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</si>
  <si>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</si>
  <si>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</si>
  <si>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</si>
  <si>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</si>
  <si>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</si>
  <si>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</si>
  <si>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</si>
  <si>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</si>
  <si>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</si>
  <si>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</si>
  <si>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</si>
  <si>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</si>
  <si>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</si>
  <si>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</si>
  <si>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</si>
  <si>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</si>
  <si>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</si>
  <si>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</si>
  <si>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</si>
  <si>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</si>
  <si>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</si>
  <si>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</si>
  <si>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</si>
  <si>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</si>
  <si>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</si>
  <si>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</si>
  <si>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</si>
  <si>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</si>
  <si>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</si>
  <si>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</si>
  <si>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</si>
  <si>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</si>
  <si>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</si>
  <si>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</si>
  <si>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</si>
  <si>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</si>
  <si>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</si>
  <si>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</si>
  <si>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</si>
  <si>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</si>
  <si>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</si>
  <si>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</si>
  <si>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</si>
  <si>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</si>
  <si>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</si>
  <si>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</si>
  <si>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</si>
  <si>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</si>
  <si>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</si>
  <si>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</si>
  <si>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</si>
  <si>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</si>
  <si>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</si>
  <si>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</si>
  <si>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</si>
  <si>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</si>
  <si>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</si>
  <si>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</si>
  <si>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</si>
  <si>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</si>
  <si>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</si>
  <si>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</si>
  <si>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</si>
  <si>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</si>
  <si>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</si>
  <si>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</si>
  <si>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</si>
  <si>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</si>
  <si>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</si>
  <si>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</si>
  <si>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</si>
  <si>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</si>
  <si>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</si>
  <si>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</si>
  <si>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</si>
  <si>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</si>
  <si>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</si>
  <si>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</si>
  <si>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</si>
  <si>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</si>
  <si>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</si>
  <si>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</si>
  <si>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</si>
  <si>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</si>
  <si>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</si>
  <si>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</si>
  <si>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</si>
  <si>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</si>
  <si>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</si>
  <si>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</si>
  <si>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</si>
  <si>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</si>
  <si>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</si>
  <si>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</si>
  <si>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</si>
  <si>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</si>
  <si>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</si>
  <si>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</si>
  <si>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</si>
  <si>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</si>
  <si>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</si>
  <si>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</si>
  <si>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</si>
  <si>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</si>
  <si>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</si>
  <si>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</si>
  <si>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</si>
  <si>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</si>
  <si>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</si>
  <si>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</si>
  <si>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</si>
  <si>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</si>
  <si>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</si>
  <si>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</si>
  <si>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</si>
  <si>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</si>
  <si>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</si>
  <si>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</si>
  <si>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</si>
  <si>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</si>
  <si>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</si>
  <si>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</si>
  <si>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</si>
  <si>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</si>
  <si>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</si>
  <si>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</si>
  <si>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</si>
  <si>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</si>
  <si>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</si>
  <si>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</si>
  <si>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</si>
  <si>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</si>
  <si>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</si>
  <si>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</si>
  <si>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</si>
  <si>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</si>
  <si>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</si>
  <si>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</si>
  <si>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</si>
  <si>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</si>
  <si>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</si>
  <si>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</si>
  <si>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</si>
  <si>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</si>
  <si>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</si>
  <si>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</si>
  <si>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</si>
  <si>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</si>
  <si>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</si>
  <si>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</si>
  <si>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</si>
  <si>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</si>
  <si>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</si>
  <si>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</si>
  <si>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</si>
  <si>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</si>
  <si>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</si>
  <si>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</si>
  <si>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</si>
  <si>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</si>
  <si>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</si>
  <si>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</si>
  <si>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</si>
  <si>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</si>
  <si>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</si>
  <si>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</si>
  <si>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</si>
  <si>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</si>
  <si>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</si>
  <si>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</si>
  <si>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</si>
  <si>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</si>
  <si>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</si>
  <si>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</si>
  <si>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</si>
  <si>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</si>
  <si>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</si>
  <si>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</si>
  <si>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</si>
  <si>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</si>
  <si>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</si>
  <si>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</si>
  <si>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</si>
  <si>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</si>
  <si>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</si>
  <si>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</si>
  <si>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</si>
  <si>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</si>
  <si>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</si>
  <si>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</si>
  <si>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</si>
  <si>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</si>
  <si>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</si>
  <si>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</si>
  <si>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</si>
  <si>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</si>
  <si>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</si>
  <si>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</si>
  <si>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</si>
  <si>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</si>
  <si>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</si>
  <si>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</si>
  <si>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</si>
  <si>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</si>
  <si>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</si>
  <si>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</si>
  <si>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</si>
  <si>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</si>
  <si>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</si>
  <si>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</si>
  <si>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</si>
  <si>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</si>
  <si>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</si>
  <si>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</si>
  <si>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</si>
  <si>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</si>
  <si>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</si>
  <si>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</si>
  <si>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</si>
  <si>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</si>
  <si>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</si>
  <si>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</si>
  <si>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</si>
  <si>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</si>
  <si>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</si>
  <si>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</si>
  <si>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</si>
  <si>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</si>
  <si>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</si>
  <si>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</si>
  <si>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</si>
  <si>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</si>
  <si>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</si>
  <si>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</si>
  <si>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</si>
  <si>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</si>
  <si>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</si>
  <si>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</si>
  <si>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</si>
  <si>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</si>
  <si>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</si>
  <si>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</si>
  <si>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</si>
  <si>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</si>
  <si>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</si>
  <si>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</si>
  <si>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</si>
  <si>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</si>
  <si>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</si>
  <si>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</si>
  <si>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</si>
  <si>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</si>
  <si>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</si>
  <si>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</si>
  <si>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</si>
  <si>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</si>
  <si>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</si>
  <si>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</si>
  <si>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</si>
  <si>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</si>
  <si>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</si>
  <si>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</si>
  <si>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</si>
  <si>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</si>
  <si>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</si>
  <si>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</si>
  <si>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</si>
  <si>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</si>
  <si>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</si>
  <si>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</si>
  <si>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</si>
  <si>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</si>
  <si>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</si>
  <si>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</si>
  <si>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</si>
  <si>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</si>
  <si>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</si>
  <si>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</si>
  <si>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</si>
  <si>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</si>
  <si>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</si>
  <si>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</si>
  <si>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</si>
  <si>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</si>
  <si>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</si>
  <si>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</si>
  <si>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</si>
  <si>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</si>
  <si>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</si>
  <si>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</si>
  <si>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</si>
  <si>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</si>
  <si>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</si>
  <si>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</si>
  <si>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</si>
  <si>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</si>
  <si>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</si>
  <si>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</si>
  <si>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</si>
  <si>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</si>
  <si>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</si>
  <si>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</si>
  <si>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</si>
  <si>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</si>
  <si>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</si>
  <si>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</si>
  <si>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</si>
  <si>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</si>
  <si>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</si>
  <si>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</si>
  <si>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</si>
  <si>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</si>
  <si>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</si>
  <si>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</si>
  <si>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</si>
  <si>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</si>
  <si>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</si>
  <si>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</si>
  <si>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</si>
  <si>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</si>
  <si>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</si>
  <si>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</si>
  <si>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</si>
  <si>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</si>
  <si>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</si>
  <si>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</si>
  <si>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</si>
  <si>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</si>
  <si>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</si>
  <si>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</si>
  <si>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</si>
  <si>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</si>
  <si>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</si>
  <si>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</si>
  <si>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</si>
  <si>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</si>
  <si>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</si>
  <si>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</si>
  <si>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</si>
  <si>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</si>
  <si>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</si>
  <si>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</si>
  <si>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</si>
  <si>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</si>
  <si>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</si>
  <si>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</si>
  <si>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</si>
  <si>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</si>
  <si>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</si>
  <si>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</si>
  <si>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</si>
  <si>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</si>
  <si>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</si>
  <si>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</si>
  <si>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</si>
  <si>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</si>
  <si>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</si>
  <si>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</si>
  <si>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</si>
  <si>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</si>
  <si>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</si>
  <si>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</si>
  <si>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</si>
  <si>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</si>
  <si>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</si>
  <si>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</si>
  <si>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</si>
  <si>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</si>
  <si>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</si>
  <si>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</si>
  <si>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</si>
  <si>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</si>
  <si>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</si>
  <si>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</si>
  <si>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</si>
  <si>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</si>
  <si>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</si>
  <si>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</si>
  <si>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</si>
  <si>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</si>
  <si>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</si>
  <si>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</si>
  <si>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</si>
  <si>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</si>
  <si>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</si>
  <si>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</si>
  <si>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</si>
  <si>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</si>
  <si>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</si>
  <si>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</si>
  <si>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</si>
  <si>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</si>
  <si>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</si>
  <si>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</si>
  <si>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</si>
  <si>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</si>
  <si>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</si>
  <si>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Preferred Medical Plan, Inc.</t>
  </si>
  <si>
    <t>2014</t>
  </si>
  <si>
    <t>4950 SW 8th Street Coral Gables, FL 33134</t>
  </si>
  <si>
    <t>591419293</t>
  </si>
  <si>
    <t>95271</t>
  </si>
  <si>
    <t>314</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</si>
  <si>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</si>
  <si>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</si>
  <si>
    <t>The incurred 2014 claims paid thru 3/31/15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</si>
  <si>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</si>
  <si>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</si>
  <si>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</si>
  <si>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</si>
  <si>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</si>
  <si>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Federal Transitional Reinsurance Program Contributions</t>
  </si>
  <si>
    <t>Expense allocation based on the accrual method of accounting (GAAP)</t>
  </si>
  <si>
    <t>Risk Adjustment admin fee</t>
  </si>
  <si>
    <t>Salaries</t>
  </si>
  <si>
    <t>Data extraction and analysis</t>
  </si>
  <si>
    <t>Other Expenses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</si>
  <si>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</si>
  <si>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</si>
  <si>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</si>
  <si>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</si>
  <si>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</si>
  <si>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</si>
  <si>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</si>
  <si>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User fees</t>
  </si>
  <si>
    <t>Other general and adminstrative expenses</t>
  </si>
  <si>
    <t>Costs are derived from direct and indirect expenses on allocation attributable to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</si>
</sst>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06" xfId="0" applyFont="1" applyFill="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E56" sqref="E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237649930.67175022</v>
      </c>
      <c r="E5" s="106">
        <f>SUM('Pt 2 Premium and Claims'!E$5,'Pt 2 Premium and Claims'!E$6,-'Pt 2 Premium and Claims'!E$7,-'Pt 2 Premium and Claims'!E$13,'Pt 2 Premium and Claims'!E$14:'Pt 2 Premium and Claims'!E$17)</f>
        <v>242895689.65175024</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178890633.05000001</v>
      </c>
      <c r="J5" s="105">
        <f>SUM('Pt 2 Premium and Claims'!J$5,'Pt 2 Premium and Claims'!J$6,-'Pt 2 Premium and Claims'!J$7,-'Pt 2 Premium and Claims'!J$13,'Pt 2 Premium and Claims'!J$14,'Pt 2 Premium and Claims'!J$16:'Pt 2 Premium and Claims'!J$17)</f>
        <v>270613</v>
      </c>
      <c r="K5" s="106">
        <f>SUM('Pt 2 Premium and Claims'!K$5,'Pt 2 Premium and Claims'!K$6,-'Pt 2 Premium and Claims'!K$7,-'Pt 2 Premium and Claims'!K$13,'Pt 2 Premium and Claims'!K$14,'Pt 2 Premium and Claims'!K$16:'Pt 2 Premium and Claims'!K$17)</f>
        <v>270613</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3071469</v>
      </c>
      <c r="Q5" s="106">
        <f>SUM('Pt 2 Premium and Claims'!Q$5,'Pt 2 Premium and Claims'!Q$6,-'Pt 2 Premium and Claims'!Q$7,-'Pt 2 Premium and Claims'!Q$13,'Pt 2 Premium and Claims'!Q$14)</f>
        <v>3071469</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78554910</v>
      </c>
      <c r="AT5" s="107">
        <f>SUM('Pt 2 Premium and Claims'!AT$5,'Pt 2 Premium and Claims'!AT$6,-'Pt 2 Premium and Claims'!AT$7,-'Pt 2 Premium and Claims'!AT$13,'Pt 2 Premium and Claims'!AT$14)</f>
        <v>1085984</v>
      </c>
      <c r="AU5" s="107">
        <f>SUM('Pt 2 Premium and Claims'!AU$5,'Pt 2 Premium and Claims'!AU$6,-'Pt 2 Premium and Claims'!AU$7,-'Pt 2 Premium and Claims'!AU$13,'Pt 2 Premium and Claims'!AU$14)</f>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-5314279</v>
      </c>
      <c r="E8" s="289"/>
      <c r="F8" s="290"/>
      <c r="G8" s="290"/>
      <c r="H8" s="290"/>
      <c r="I8" s="293"/>
      <c r="J8" s="109">
        <v>-5085</v>
      </c>
      <c r="K8" s="289"/>
      <c r="L8" s="290"/>
      <c r="M8" s="290"/>
      <c r="N8" s="290"/>
      <c r="O8" s="293"/>
      <c r="P8" s="109">
        <v>-74619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-121359</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214431063</v>
      </c>
      <c r="E12" s="106">
        <f>'Pt 2 Premium and Claims'!E$54</f>
        <v>213208157.64911455</v>
      </c>
      <c r="F12" s="106">
        <f>'Pt 2 Premium and Claims'!F$54</f>
        <v>0</v>
      </c>
      <c r="G12" s="106">
        <f>'Pt 2 Premium and Claims'!G$54</f>
        <v>0</v>
      </c>
      <c r="H12" s="106">
        <f>'Pt 2 Premium and Claims'!H$54</f>
        <v>0</v>
      </c>
      <c r="I12" s="105">
        <f>'Pt 2 Premium and Claims'!I$54</f>
        <v>181929593.77811611</v>
      </c>
      <c r="J12" s="105">
        <f>'Pt 2 Premium and Claims'!J$54</f>
        <v>291702</v>
      </c>
      <c r="K12" s="106">
        <f>'Pt 2 Premium and Claims'!K$54</f>
        <v>214297.83730358229</v>
      </c>
      <c r="L12" s="106">
        <f>'Pt 2 Premium and Claims'!L$54</f>
        <v>0</v>
      </c>
      <c r="M12" s="106">
        <f>'Pt 2 Premium and Claims'!M$54</f>
        <v>0</v>
      </c>
      <c r="N12" s="106">
        <f>'Pt 2 Premium and Claims'!N$54</f>
        <v>0</v>
      </c>
      <c r="O12" s="105">
        <f>'Pt 2 Premium and Claims'!O$54</f>
        <v>0</v>
      </c>
      <c r="P12" s="105">
        <f>'Pt 2 Premium and Claims'!P$54</f>
        <v>3198372</v>
      </c>
      <c r="Q12" s="106">
        <f>'Pt 2 Premium and Claims'!Q$54</f>
        <v>2604640.0247237207</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86741469</v>
      </c>
      <c r="AT12" s="107">
        <f>'Pt 2 Premium and Claims'!AT$54</f>
        <v>499621</v>
      </c>
      <c r="AU12" s="107">
        <f>'Pt 2 Premium and Claims'!AU$54</f>
        <v>0</v>
      </c>
      <c r="AV12" s="312"/>
      <c r="AW12" s="317"/>
    </row>
    <row r="13" spans="1:49" ht="25.5" x14ac:dyDescent="0.2">
      <c r="B13" s="155" t="s">
        <v>230</v>
      </c>
      <c r="C13" s="62" t="s">
        <v>37</v>
      </c>
      <c r="D13" s="109">
        <v>8422811</v>
      </c>
      <c r="E13" s="110">
        <v>8422811</v>
      </c>
      <c r="F13" s="110"/>
      <c r="G13" s="289"/>
      <c r="H13" s="290"/>
      <c r="I13" s="109">
        <v>6850830</v>
      </c>
      <c r="J13" s="109">
        <v>8736</v>
      </c>
      <c r="K13" s="110">
        <v>8736</v>
      </c>
      <c r="L13" s="110"/>
      <c r="M13" s="289"/>
      <c r="N13" s="290"/>
      <c r="O13" s="109">
        <v>0</v>
      </c>
      <c r="P13" s="109">
        <v>50103</v>
      </c>
      <c r="Q13" s="110">
        <v>50103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12174019</v>
      </c>
      <c r="AT13" s="113">
        <v>16289</v>
      </c>
      <c r="AU13" s="113"/>
      <c r="AV13" s="311"/>
      <c r="AW13" s="318"/>
    </row>
    <row r="14" spans="1:49" ht="25.5" x14ac:dyDescent="0.2">
      <c r="B14" s="155" t="s">
        <v>231</v>
      </c>
      <c r="C14" s="62" t="s">
        <v>6</v>
      </c>
      <c r="D14" s="109">
        <v>73305.16</v>
      </c>
      <c r="E14" s="110">
        <v>180014.16</v>
      </c>
      <c r="F14" s="110"/>
      <c r="G14" s="288"/>
      <c r="H14" s="291"/>
      <c r="I14" s="109">
        <v>180014.16</v>
      </c>
      <c r="J14" s="109">
        <v>257</v>
      </c>
      <c r="K14" s="110">
        <v>257</v>
      </c>
      <c r="L14" s="110"/>
      <c r="M14" s="288"/>
      <c r="N14" s="291"/>
      <c r="O14" s="109">
        <v>0</v>
      </c>
      <c r="P14" s="109">
        <v>2561</v>
      </c>
      <c r="Q14" s="110">
        <v>2561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75596</v>
      </c>
      <c r="AT14" s="113">
        <v>218</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24578969</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1293613</v>
      </c>
      <c r="E18" s="288"/>
      <c r="F18" s="291"/>
      <c r="G18" s="291"/>
      <c r="H18" s="294"/>
      <c r="I18" s="292"/>
      <c r="J18" s="109">
        <v>0</v>
      </c>
      <c r="K18" s="288"/>
      <c r="L18" s="291"/>
      <c r="M18" s="291"/>
      <c r="N18" s="294"/>
      <c r="O18" s="292"/>
      <c r="P18" s="109">
        <v>28560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8425</v>
      </c>
      <c r="AT18" s="113">
        <v>0</v>
      </c>
      <c r="AU18" s="113"/>
      <c r="AV18" s="311"/>
      <c r="AW18" s="318"/>
    </row>
    <row r="19" spans="1:49" x14ac:dyDescent="0.2">
      <c r="B19" s="155" t="s">
        <v>236</v>
      </c>
      <c r="C19" s="62" t="s">
        <v>64</v>
      </c>
      <c r="D19" s="109">
        <v>1498727</v>
      </c>
      <c r="E19" s="288"/>
      <c r="F19" s="291"/>
      <c r="G19" s="291"/>
      <c r="H19" s="291"/>
      <c r="I19" s="292"/>
      <c r="J19" s="109">
        <v>0</v>
      </c>
      <c r="K19" s="288"/>
      <c r="L19" s="291"/>
      <c r="M19" s="291"/>
      <c r="N19" s="291"/>
      <c r="O19" s="292"/>
      <c r="P19" s="109">
        <v>28560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218560</v>
      </c>
      <c r="E21" s="288"/>
      <c r="F21" s="291"/>
      <c r="G21" s="291"/>
      <c r="H21" s="291"/>
      <c r="I21" s="292"/>
      <c r="J21" s="109">
        <v>1260</v>
      </c>
      <c r="K21" s="288"/>
      <c r="L21" s="291"/>
      <c r="M21" s="291"/>
      <c r="N21" s="291"/>
      <c r="O21" s="292"/>
      <c r="P21" s="109">
        <v>3025</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18842</v>
      </c>
      <c r="AT21" s="113">
        <v>148</v>
      </c>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169202</v>
      </c>
      <c r="E26" s="110">
        <v>169202</v>
      </c>
      <c r="F26" s="110"/>
      <c r="G26" s="110"/>
      <c r="H26" s="110"/>
      <c r="I26" s="109">
        <v>135697</v>
      </c>
      <c r="J26" s="109">
        <v>159</v>
      </c>
      <c r="K26" s="110">
        <v>159</v>
      </c>
      <c r="L26" s="110"/>
      <c r="M26" s="110"/>
      <c r="N26" s="110"/>
      <c r="O26" s="109">
        <v>0</v>
      </c>
      <c r="P26" s="109">
        <v>2542</v>
      </c>
      <c r="Q26" s="110">
        <v>2542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771540</v>
      </c>
      <c r="E27" s="110">
        <v>771540</v>
      </c>
      <c r="F27" s="110"/>
      <c r="G27" s="110"/>
      <c r="H27" s="110"/>
      <c r="I27" s="109">
        <v>675519.18232625781</v>
      </c>
      <c r="J27" s="109">
        <v>723.18684634755823</v>
      </c>
      <c r="K27" s="110">
        <v>723.18684634755823</v>
      </c>
      <c r="L27" s="110"/>
      <c r="M27" s="110"/>
      <c r="N27" s="110"/>
      <c r="O27" s="109">
        <v>0</v>
      </c>
      <c r="P27" s="109">
        <v>8208.2013050529295</v>
      </c>
      <c r="Q27" s="110">
        <v>8208.2013050529295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209930.33456639652</v>
      </c>
      <c r="AT27" s="113">
        <v>2928.9103354509289</v>
      </c>
      <c r="AU27" s="113"/>
      <c r="AV27" s="314"/>
      <c r="AW27" s="318"/>
    </row>
    <row r="28" spans="1:49" s="5" customFormat="1" x14ac:dyDescent="0.2">
      <c r="A28" s="35"/>
      <c r="B28" s="158" t="s">
        <v>245</v>
      </c>
      <c r="C28" s="62"/>
      <c r="D28" s="109">
        <v>1048813</v>
      </c>
      <c r="E28" s="110">
        <v>1048813</v>
      </c>
      <c r="F28" s="110"/>
      <c r="G28" s="110"/>
      <c r="H28" s="110"/>
      <c r="I28" s="109">
        <v>918285</v>
      </c>
      <c r="J28" s="109">
        <v>983</v>
      </c>
      <c r="K28" s="110">
        <v>983</v>
      </c>
      <c r="L28" s="110"/>
      <c r="M28" s="110"/>
      <c r="N28" s="110"/>
      <c r="O28" s="109">
        <v>0</v>
      </c>
      <c r="P28" s="109">
        <v>11158</v>
      </c>
      <c r="Q28" s="110">
        <v>11158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285374</v>
      </c>
      <c r="AT28" s="113">
        <v>3981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4975756</v>
      </c>
      <c r="E34" s="110">
        <v>4975756</v>
      </c>
      <c r="F34" s="110"/>
      <c r="G34" s="110"/>
      <c r="H34" s="110"/>
      <c r="I34" s="109">
        <v>4683896.28</v>
      </c>
      <c r="J34" s="109">
        <v>4473</v>
      </c>
      <c r="K34" s="110">
        <v>4473</v>
      </c>
      <c r="L34" s="110"/>
      <c r="M34" s="110"/>
      <c r="N34" s="110"/>
      <c r="O34" s="109">
        <v>0</v>
      </c>
      <c r="P34" s="109">
        <v>73778</v>
      </c>
      <c r="Q34" s="110">
        <v>73778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8917826</v>
      </c>
      <c r="E35" s="110">
        <v>8851410.1699999999</v>
      </c>
      <c r="F35" s="110"/>
      <c r="G35" s="110"/>
      <c r="H35" s="110"/>
      <c r="I35" s="109">
        <v>8851410.1699999999</v>
      </c>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1103346</v>
      </c>
      <c r="E37" s="118">
        <v>1103346</v>
      </c>
      <c r="F37" s="118"/>
      <c r="G37" s="118"/>
      <c r="H37" s="118"/>
      <c r="I37" s="117">
        <v>966032</v>
      </c>
      <c r="J37" s="117">
        <v>3188</v>
      </c>
      <c r="K37" s="118">
        <v>3188</v>
      </c>
      <c r="L37" s="118"/>
      <c r="M37" s="118"/>
      <c r="N37" s="118"/>
      <c r="O37" s="117">
        <v>0</v>
      </c>
      <c r="P37" s="117">
        <v>62445</v>
      </c>
      <c r="Q37" s="118">
        <v>62445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540518</v>
      </c>
      <c r="AT37" s="119">
        <v>0</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7061</v>
      </c>
      <c r="Q40" s="110">
        <v>7061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72664</v>
      </c>
      <c r="AT40" s="113">
        <v>0</v>
      </c>
      <c r="AU40" s="113"/>
      <c r="AV40" s="113"/>
      <c r="AW40" s="318"/>
    </row>
    <row r="41" spans="1:49" s="5" customFormat="1" ht="25.5" x14ac:dyDescent="0.2">
      <c r="A41" s="35"/>
      <c r="B41" s="158" t="s">
        <v>258</v>
      </c>
      <c r="C41" s="62" t="s">
        <v>129</v>
      </c>
      <c r="D41" s="109">
        <v>234379</v>
      </c>
      <c r="E41" s="110">
        <v>234379</v>
      </c>
      <c r="F41" s="110"/>
      <c r="G41" s="110"/>
      <c r="H41" s="110"/>
      <c r="I41" s="109">
        <v>59270.98</v>
      </c>
      <c r="J41" s="109">
        <v>503</v>
      </c>
      <c r="K41" s="110">
        <v>503</v>
      </c>
      <c r="L41" s="110"/>
      <c r="M41" s="110"/>
      <c r="N41" s="110"/>
      <c r="O41" s="109">
        <v>0</v>
      </c>
      <c r="P41" s="109">
        <v>9579</v>
      </c>
      <c r="Q41" s="110">
        <v>9579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81944</v>
      </c>
      <c r="AT41" s="113">
        <v>1058</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c r="AV44" s="119"/>
      <c r="AW44" s="317"/>
    </row>
    <row r="45" spans="1:49" x14ac:dyDescent="0.2">
      <c r="B45" s="161" t="s">
        <v>262</v>
      </c>
      <c r="C45" s="62" t="s">
        <v>19</v>
      </c>
      <c r="D45" s="109">
        <v>584215</v>
      </c>
      <c r="E45" s="110">
        <v>266079.19418229064</v>
      </c>
      <c r="F45" s="110"/>
      <c r="G45" s="110"/>
      <c r="H45" s="110"/>
      <c r="I45" s="109">
        <v>229663.46256232139</v>
      </c>
      <c r="J45" s="109">
        <v>202</v>
      </c>
      <c r="K45" s="110">
        <v>87.937746071645776</v>
      </c>
      <c r="L45" s="110"/>
      <c r="M45" s="110"/>
      <c r="N45" s="110"/>
      <c r="O45" s="109">
        <v>0</v>
      </c>
      <c r="P45" s="109">
        <v>5226</v>
      </c>
      <c r="Q45" s="110">
        <v>1830.2260944744014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206288</v>
      </c>
      <c r="AT45" s="113">
        <v>3929</v>
      </c>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20909366</v>
      </c>
      <c r="E47" s="110">
        <v>20909366</v>
      </c>
      <c r="F47" s="110"/>
      <c r="G47" s="110"/>
      <c r="H47" s="110"/>
      <c r="I47" s="109">
        <v>19328422.59</v>
      </c>
      <c r="J47" s="109">
        <v>0</v>
      </c>
      <c r="K47" s="110">
        <v>0</v>
      </c>
      <c r="L47" s="110"/>
      <c r="M47" s="110"/>
      <c r="N47" s="110"/>
      <c r="O47" s="109">
        <v>0</v>
      </c>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182488</v>
      </c>
      <c r="AT47" s="113">
        <v>48530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19417554</v>
      </c>
      <c r="E51" s="110">
        <v>19417554</v>
      </c>
      <c r="F51" s="110"/>
      <c r="G51" s="110"/>
      <c r="H51" s="110"/>
      <c r="I51" s="109">
        <v>19157593.41</v>
      </c>
      <c r="J51" s="109">
        <v>10715</v>
      </c>
      <c r="K51" s="110">
        <v>10715</v>
      </c>
      <c r="L51" s="110"/>
      <c r="M51" s="110"/>
      <c r="N51" s="110"/>
      <c r="O51" s="109">
        <v>0</v>
      </c>
      <c r="P51" s="109">
        <v>293597</v>
      </c>
      <c r="Q51" s="110">
        <v>293597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13834328</v>
      </c>
      <c r="AT51" s="113">
        <v>230642</v>
      </c>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63234</v>
      </c>
      <c r="E56" s="122">
        <v>67874</v>
      </c>
      <c r="F56" s="122"/>
      <c r="G56" s="122"/>
      <c r="H56" s="122"/>
      <c r="I56" s="121">
        <v>57145</v>
      </c>
      <c r="J56" s="121">
        <v>55</v>
      </c>
      <c r="K56" s="122">
        <v>55</v>
      </c>
      <c r="L56" s="122"/>
      <c r="M56" s="122"/>
      <c r="N56" s="122"/>
      <c r="O56" s="121">
        <v>0</v>
      </c>
      <c r="P56" s="121">
        <v>924</v>
      </c>
      <c r="Q56" s="122">
        <v>924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27814</v>
      </c>
      <c r="AT56" s="123">
        <v>665</v>
      </c>
      <c r="AU56" s="123"/>
      <c r="AV56" s="123"/>
      <c r="AW56" s="309"/>
    </row>
    <row r="57" spans="2:49" x14ac:dyDescent="0.2">
      <c r="B57" s="161" t="s">
        <v>273</v>
      </c>
      <c r="C57" s="62" t="s">
        <v>25</v>
      </c>
      <c r="D57" s="124">
        <v>86726</v>
      </c>
      <c r="E57" s="125">
        <v>90642</v>
      </c>
      <c r="F57" s="125"/>
      <c r="G57" s="125"/>
      <c r="H57" s="125"/>
      <c r="I57" s="124">
        <v>79697</v>
      </c>
      <c r="J57" s="124">
        <v>71</v>
      </c>
      <c r="K57" s="125">
        <v>71</v>
      </c>
      <c r="L57" s="125"/>
      <c r="M57" s="125"/>
      <c r="N57" s="125"/>
      <c r="O57" s="124">
        <v>0</v>
      </c>
      <c r="P57" s="124">
        <v>1433</v>
      </c>
      <c r="Q57" s="125">
        <v>1433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27816</v>
      </c>
      <c r="AT57" s="126">
        <v>786</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v>0</v>
      </c>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2">
      <c r="B59" s="161" t="s">
        <v>275</v>
      </c>
      <c r="C59" s="62" t="s">
        <v>27</v>
      </c>
      <c r="D59" s="124">
        <v>945776</v>
      </c>
      <c r="E59" s="125">
        <v>962953</v>
      </c>
      <c r="F59" s="125"/>
      <c r="G59" s="125"/>
      <c r="H59" s="125"/>
      <c r="I59" s="124">
        <v>799386</v>
      </c>
      <c r="J59" s="124">
        <v>939</v>
      </c>
      <c r="K59" s="125">
        <v>939</v>
      </c>
      <c r="L59" s="125"/>
      <c r="M59" s="125"/>
      <c r="N59" s="125"/>
      <c r="O59" s="124">
        <v>0</v>
      </c>
      <c r="P59" s="124">
        <v>13962</v>
      </c>
      <c r="Q59" s="125">
        <v>13962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268029</v>
      </c>
      <c r="AT59" s="126">
        <v>15488</v>
      </c>
      <c r="AU59" s="126"/>
      <c r="AV59" s="126"/>
      <c r="AW59" s="310"/>
    </row>
    <row r="60" spans="2:49" x14ac:dyDescent="0.2">
      <c r="B60" s="161" t="s">
        <v>276</v>
      </c>
      <c r="C60" s="62"/>
      <c r="D60" s="127">
        <f>D$59/12</f>
        <v>78814.666666666672</v>
      </c>
      <c r="E60" s="128">
        <f t="shared" ref="E60:AC60" si="0">E$59/12</f>
        <v>80246.083333333328</v>
      </c>
      <c r="F60" s="128">
        <f t="shared" si="0"/>
        <v>0</v>
      </c>
      <c r="G60" s="128">
        <f t="shared" si="0"/>
        <v>0</v>
      </c>
      <c r="H60" s="128">
        <f t="shared" si="0"/>
        <v>0</v>
      </c>
      <c r="I60" s="127">
        <f t="shared" si="0"/>
        <v>66615.5</v>
      </c>
      <c r="J60" s="127">
        <f t="shared" si="0"/>
        <v>78.25</v>
      </c>
      <c r="K60" s="128">
        <f t="shared" si="0"/>
        <v>78.25</v>
      </c>
      <c r="L60" s="128">
        <f t="shared" si="0"/>
        <v>0</v>
      </c>
      <c r="M60" s="128">
        <f t="shared" si="0"/>
        <v>0</v>
      </c>
      <c r="N60" s="128">
        <f t="shared" si="0"/>
        <v>0</v>
      </c>
      <c r="O60" s="127">
        <f t="shared" si="0"/>
        <v>0</v>
      </c>
      <c r="P60" s="127">
        <f t="shared" si="0"/>
        <v>1163.5</v>
      </c>
      <c r="Q60" s="128">
        <f t="shared" si="0"/>
        <v>1163.5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22335.75</v>
      </c>
      <c r="AT60" s="129">
        <f t="shared" si="1"/>
        <v>1290.6666666666667</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D7"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288749829</v>
      </c>
      <c r="E5" s="118">
        <v>293995587.98000002</v>
      </c>
      <c r="F5" s="118"/>
      <c r="G5" s="130"/>
      <c r="H5" s="130"/>
      <c r="I5" s="117">
        <v>258528187.98000002</v>
      </c>
      <c r="J5" s="117">
        <v>270613</v>
      </c>
      <c r="K5" s="118">
        <v>270613</v>
      </c>
      <c r="L5" s="118"/>
      <c r="M5" s="118"/>
      <c r="N5" s="118"/>
      <c r="O5" s="117">
        <v>0</v>
      </c>
      <c r="P5" s="117">
        <v>3071469</v>
      </c>
      <c r="Q5" s="118">
        <v>3071469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78554910</v>
      </c>
      <c r="AT5" s="119">
        <v>1085984</v>
      </c>
      <c r="AU5" s="119"/>
      <c r="AV5" s="312"/>
      <c r="AW5" s="317"/>
    </row>
    <row r="6" spans="2:49" x14ac:dyDescent="0.2">
      <c r="B6" s="176" t="s">
        <v>279</v>
      </c>
      <c r="C6" s="133" t="s">
        <v>8</v>
      </c>
      <c r="D6" s="109">
        <v>102715.09</v>
      </c>
      <c r="E6" s="110">
        <v>102715.09</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1735744.7499999998</v>
      </c>
      <c r="E7" s="110">
        <v>1735744.7499999998</v>
      </c>
      <c r="F7" s="110"/>
      <c r="G7" s="111"/>
      <c r="H7" s="111"/>
      <c r="I7" s="109">
        <v>1666542.93</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19151684</v>
      </c>
      <c r="E15" s="110">
        <v>19151684</v>
      </c>
      <c r="F15" s="110"/>
      <c r="G15" s="110"/>
      <c r="H15" s="110"/>
      <c r="I15" s="109">
        <v>19151684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-97122696</v>
      </c>
      <c r="E16" s="110">
        <v>-97122696</v>
      </c>
      <c r="F16" s="110"/>
      <c r="G16" s="110"/>
      <c r="H16" s="110"/>
      <c r="I16" s="109">
        <v>-97122696</v>
      </c>
      <c r="J16" s="109">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28504143.331750251</v>
      </c>
      <c r="E17" s="269">
        <v>28504143.331750251</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v>236260988</v>
      </c>
      <c r="E20" s="110">
        <v>239144301.45999998</v>
      </c>
      <c r="F20" s="110"/>
      <c r="G20" s="110"/>
      <c r="H20" s="110"/>
      <c r="I20" s="109">
        <v>239144301.45999998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187234654</v>
      </c>
      <c r="E23" s="288"/>
      <c r="F23" s="288"/>
      <c r="G23" s="288"/>
      <c r="H23" s="288"/>
      <c r="I23" s="292"/>
      <c r="J23" s="109">
        <v>241126</v>
      </c>
      <c r="K23" s="288"/>
      <c r="L23" s="288"/>
      <c r="M23" s="288"/>
      <c r="N23" s="288"/>
      <c r="O23" s="292"/>
      <c r="P23" s="109">
        <v>2250989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78203632</v>
      </c>
      <c r="AT23" s="113">
        <v>538136</v>
      </c>
      <c r="AU23" s="113"/>
      <c r="AV23" s="311"/>
      <c r="AW23" s="318"/>
    </row>
    <row r="24" spans="2:49" ht="28.5" customHeight="1" x14ac:dyDescent="0.2">
      <c r="B24" s="178" t="s">
        <v>114</v>
      </c>
      <c r="C24" s="133"/>
      <c r="D24" s="293"/>
      <c r="E24" s="110">
        <v>200317517.94000003</v>
      </c>
      <c r="F24" s="110"/>
      <c r="G24" s="110"/>
      <c r="H24" s="110"/>
      <c r="I24" s="109">
        <v>170446420.65000004</v>
      </c>
      <c r="J24" s="293"/>
      <c r="K24" s="110">
        <v>209900.95</v>
      </c>
      <c r="L24" s="110"/>
      <c r="M24" s="110"/>
      <c r="N24" s="110"/>
      <c r="O24" s="109">
        <v>0</v>
      </c>
      <c r="P24" s="293"/>
      <c r="Q24" s="110">
        <v>2513128.7200000007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36028481</v>
      </c>
      <c r="E26" s="288"/>
      <c r="F26" s="288"/>
      <c r="G26" s="288"/>
      <c r="H26" s="288"/>
      <c r="I26" s="292"/>
      <c r="J26" s="109">
        <v>189593</v>
      </c>
      <c r="K26" s="288"/>
      <c r="L26" s="288"/>
      <c r="M26" s="288"/>
      <c r="N26" s="288"/>
      <c r="O26" s="292"/>
      <c r="P26" s="109">
        <v>1261164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17849202</v>
      </c>
      <c r="AT26" s="113">
        <v>22080</v>
      </c>
      <c r="AU26" s="113"/>
      <c r="AV26" s="311"/>
      <c r="AW26" s="318"/>
    </row>
    <row r="27" spans="2:49" s="5" customFormat="1" ht="25.5" x14ac:dyDescent="0.2">
      <c r="B27" s="178" t="s">
        <v>85</v>
      </c>
      <c r="C27" s="133"/>
      <c r="D27" s="293"/>
      <c r="E27" s="110">
        <v>13303959.709114533</v>
      </c>
      <c r="F27" s="110"/>
      <c r="G27" s="110"/>
      <c r="H27" s="110"/>
      <c r="I27" s="109">
        <v>11483173.128116069</v>
      </c>
      <c r="J27" s="293"/>
      <c r="K27" s="110">
        <v>4396.887303582289</v>
      </c>
      <c r="L27" s="110"/>
      <c r="M27" s="110"/>
      <c r="N27" s="110"/>
      <c r="O27" s="109">
        <v>0</v>
      </c>
      <c r="P27" s="293"/>
      <c r="Q27" s="110">
        <v>91511.304723720066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8617948</v>
      </c>
      <c r="E28" s="289"/>
      <c r="F28" s="289"/>
      <c r="G28" s="289"/>
      <c r="H28" s="289"/>
      <c r="I28" s="293"/>
      <c r="J28" s="109">
        <v>139017</v>
      </c>
      <c r="K28" s="289"/>
      <c r="L28" s="289"/>
      <c r="M28" s="289"/>
      <c r="N28" s="289"/>
      <c r="O28" s="293"/>
      <c r="P28" s="109">
        <v>313781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9311365</v>
      </c>
      <c r="AT28" s="113">
        <v>60595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4030000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4030000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4443320</v>
      </c>
      <c r="E36" s="110">
        <v>4443320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199196</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f>D23+D26-D28+D30-D32+D34-D36+D38+D41-D43+D45+D46-D47-D49+D50+D51+D52+D53</f>
        <v>214431063</v>
      </c>
      <c r="E54" s="115">
        <f>E24+E27+E31+E35-E36+E39+E42+E45+E46-E49+E51+E52+E53</f>
        <v>213208157.64911455</v>
      </c>
      <c r="F54" s="115">
        <f>F24+F27+F31+F35-F36+F39+F42+F45+F46-F49+F51+F52+F53</f>
        <v>0</v>
      </c>
      <c r="G54" s="115">
        <f>G24+G27+G31+G35-G36+G39+G42+G45+G46-G49+G51+G52+G53</f>
        <v>0</v>
      </c>
      <c r="H54" s="115">
        <f>H24+H27+H31+H35-H36+H39+H42+H45+H46-H49+H51+H52+H53</f>
        <v>0</v>
      </c>
      <c r="I54" s="114">
        <f>I24+I27+I31+I35-I36+I39+I42+I45+I46-I49+I51+I52+I53</f>
        <v>181929593.77811611</v>
      </c>
      <c r="J54" s="114">
        <f>J23+J26-J28+J30-J32+J34-J36+J38+J41-J43+J45+J46-J47-J49+J50+J51+J52+J53</f>
        <v>291702</v>
      </c>
      <c r="K54" s="115">
        <f>K24+K27+K31+K35-K36+K39+K42+K45+K46-K49+K51+K52+K53</f>
        <v>214297.83730358229</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3198372</v>
      </c>
      <c r="Q54" s="115">
        <f>Q24+Q27+Q31+Q35-Q36+Q39+Q42+Q45+Q46-Q49+Q51+Q52+Q53</f>
        <v>2604640.0247237207</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86741469</v>
      </c>
      <c r="AT54" s="116">
        <f>AT23+AT26-AT28+AT30-AT32+AT34-AT36+AT38+AT41-AT43+AT45+AT46-AT47-AT49+AT50+AT51+AT52+AT53</f>
        <v>499621</v>
      </c>
      <c r="AU54" s="116">
        <f>AU23+AU26-AU28+AU30-AU32+AU34-AU36+AU38+AU41-AU43+AU45+AU46-AU47-AU49+AU50+AU51+AU52+AU53</f>
        <v>0</v>
      </c>
      <c r="AV54" s="311"/>
      <c r="AW54" s="318"/>
    </row>
    <row r="55" spans="2:49" ht="25.5" x14ac:dyDescent="0.2">
      <c r="B55" s="181" t="s">
        <v>304</v>
      </c>
      <c r="C55" s="137" t="s">
        <v>28</v>
      </c>
      <c r="D55" s="114">
        <f>MIN(MAX(0,D56),MAX(0,D57))</f>
        <v>0</v>
      </c>
      <c r="E55" s="115">
        <f t="shared" ref="E55:AC55" si="0">MIN(MAX(0,E56),MAX(0,E57))</f>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12369</v>
      </c>
      <c r="E56" s="110">
        <v>12369</v>
      </c>
      <c r="F56" s="110"/>
      <c r="G56" s="110"/>
      <c r="H56" s="110"/>
      <c r="I56" s="109">
        <v>12369</v>
      </c>
      <c r="J56" s="109">
        <v>0</v>
      </c>
      <c r="K56" s="110">
        <v>10</v>
      </c>
      <c r="L56" s="110"/>
      <c r="M56" s="110"/>
      <c r="N56" s="110"/>
      <c r="O56" s="109">
        <v>0</v>
      </c>
      <c r="P56" s="109">
        <v>0</v>
      </c>
      <c r="Q56" s="110">
        <v>207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22595983</v>
      </c>
      <c r="E58" s="187">
        <v>22595983</v>
      </c>
      <c r="F58" s="187"/>
      <c r="G58" s="187"/>
      <c r="H58" s="187"/>
      <c r="I58" s="186">
        <v>22595983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40485067</v>
      </c>
      <c r="D5" s="118">
        <v>39361339</v>
      </c>
      <c r="E5" s="346"/>
      <c r="F5" s="346"/>
      <c r="G5" s="312"/>
      <c r="H5" s="117">
        <v>836712</v>
      </c>
      <c r="I5" s="118">
        <v>340557</v>
      </c>
      <c r="J5" s="346"/>
      <c r="K5" s="346"/>
      <c r="L5" s="312"/>
      <c r="M5" s="117">
        <v>1883275</v>
      </c>
      <c r="N5" s="118">
        <v>1611447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40539228.471015364</v>
      </c>
      <c r="D6" s="110">
        <v>40984087.044898145</v>
      </c>
      <c r="E6" s="115">
        <f>SUM('Pt 1 Summary of Data'!E$12,'Pt 1 Summary of Data'!E$22)+SUM('Pt 1 Summary of Data'!G$12,'Pt 1 Summary of Data'!G$22)-SUM('Pt 1 Summary of Data'!H$12,'Pt 1 Summary of Data'!H$22)</f>
        <v>213208157.64911455</v>
      </c>
      <c r="F6" s="115">
        <f>SUM(C6:E6)</f>
        <v>294731473.1650281</v>
      </c>
      <c r="G6" s="116">
        <f>SUM('Pt 1 Summary of Data'!I$12,'Pt 1 Summary of Data'!I$22)</f>
        <v>181929593.77811611</v>
      </c>
      <c r="H6" s="109">
        <v>760117.07101834519</v>
      </c>
      <c r="I6" s="110">
        <v>343426.90993437491</v>
      </c>
      <c r="J6" s="115">
        <f>SUM('Pt 1 Summary of Data'!K$12,'Pt 1 Summary of Data'!K$22)+SUM('Pt 1 Summary of Data'!M$12,'Pt 1 Summary of Data'!M$22)-SUM('Pt 1 Summary of Data'!N$12,'Pt 1 Summary of Data'!N$22)</f>
        <v>214297.83730358229</v>
      </c>
      <c r="K6" s="115">
        <f>SUM(H6:J6)</f>
        <v>1317841.8182563025</v>
      </c>
      <c r="L6" s="116">
        <f>SUM('Pt 1 Summary of Data'!O$12,'Pt 1 Summary of Data'!O$22)</f>
        <v>0</v>
      </c>
      <c r="M6" s="109">
        <v>1746869.4242044925</v>
      </c>
      <c r="N6" s="110">
        <v>1618743.0625186325</v>
      </c>
      <c r="O6" s="115">
        <f>SUM('Pt 1 Summary of Data'!Q$12,'Pt 1 Summary of Data'!Q$22)+SUM('Pt 1 Summary of Data'!S$12,'Pt 1 Summary of Data'!S$22)-SUM('Pt 1 Summary of Data'!T$12,'Pt 1 Summary of Data'!T$22)</f>
        <v>2604640.0247237207</v>
      </c>
      <c r="P6" s="115">
        <f>SUM(M6:O6)</f>
        <v>5970252.5114468457</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676244</v>
      </c>
      <c r="D7" s="110">
        <v>676701</v>
      </c>
      <c r="E7" s="115">
        <f>SUM('Pt 1 Summary of Data'!E$37:E$41)+SUM('Pt 1 Summary of Data'!G$37:G$41)-SUM('Pt 1 Summary of Data'!H$37:H$41)+MAX(0,MIN('Pt 1 Summary of Data'!E$42+'Pt 1 Summary of Data'!G$42-'Pt 1 Summary of Data'!H$42,0.3%*('Pt 1 Summary of Data'!E$5+'Pt 1 Summary of Data'!G$5-'Pt 1 Summary of Data'!H$5-SUM(E$9:E$11))))</f>
        <v>1337725</v>
      </c>
      <c r="F7" s="115">
        <f>SUM(C7:E7)</f>
        <v>2690670</v>
      </c>
      <c r="G7" s="116">
        <f>SUM('Pt 1 Summary of Data'!I$37:I$41)+MAX(0,MIN('Pt 1 Summary of Data'!I$42,0.3%*('Pt 1 Summary of Data'!I$5-SUM(G$9:G$10))))</f>
        <v>1025302.98</v>
      </c>
      <c r="H7" s="109">
        <v>5744</v>
      </c>
      <c r="I7" s="110">
        <v>5937</v>
      </c>
      <c r="J7" s="115">
        <f>SUM('Pt 1 Summary of Data'!K$37:K$41)+SUM('Pt 1 Summary of Data'!M$37:M$41)-SUM('Pt 1 Summary of Data'!N$37:N$41)+MAX(0,MIN('Pt 1 Summary of Data'!K$42+'Pt 1 Summary of Data'!M$42-'Pt 1 Summary of Data'!N$42,0.3%*('Pt 1 Summary of Data'!K$5+'Pt 1 Summary of Data'!M$5-'Pt 1 Summary of Data'!N$5-SUM(J$10:J$11))))</f>
        <v>3691</v>
      </c>
      <c r="K7" s="115">
        <f>SUM(H7:J7)</f>
        <v>15372</v>
      </c>
      <c r="L7" s="116">
        <f>SUM('Pt 1 Summary of Data'!O$37:O$41)+MAX(0,MIN('Pt 1 Summary of Data'!O$42,0.3%*('Pt 1 Summary of Data'!O$5-L$10)))</f>
        <v>0</v>
      </c>
      <c r="M7" s="109">
        <v>29266</v>
      </c>
      <c r="N7" s="110">
        <v>31621</v>
      </c>
      <c r="O7" s="115">
        <f>SUM('Pt 1 Summary of Data'!Q$37:Q$41)+SUM('Pt 1 Summary of Data'!S$37:S$41)-SUM('Pt 1 Summary of Data'!T$37:T$41)+MAX(0,MIN('Pt 1 Summary of Data'!Q$42+'Pt 1 Summary of Data'!S$42-'Pt 1 Summary of Data'!T$42,0.3%*('Pt 1 Summary of Data'!Q$5+'Pt 1 Summary of Data'!S$5-'Pt 1 Summary of Data'!T$5)))</f>
        <v>79085</v>
      </c>
      <c r="P7" s="115">
        <f>SUM(M7:O7)</f>
        <v>139972</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484</v>
      </c>
      <c r="C8" s="293"/>
      <c r="D8" s="289"/>
      <c r="E8" s="269">
        <v>22595983</v>
      </c>
      <c r="F8" s="269">
        <v>22595983</v>
      </c>
      <c r="G8" s="270">
        <v>22595983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19151684</v>
      </c>
      <c r="F9" s="115">
        <f>SUM(C9:E9)</f>
        <v>19151684</v>
      </c>
      <c r="G9" s="116">
        <f>'Pt 2 Premium and Claims'!I$15</f>
        <v>19151684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-97122696</v>
      </c>
      <c r="F10" s="115">
        <f>SUM(C10:E10)</f>
        <v>-97122696</v>
      </c>
      <c r="G10" s="116">
        <f>'Pt 2 Premium and Claims'!I$16</f>
        <v>-97122696</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f>'Pt 2 Premium and Claims'!E$17+'Pt 2 Premium and Claims'!G$17-'Pt 2 Premium and Claims'!H$17</f>
        <v>28504143.331750251</v>
      </c>
      <c r="F11" s="115">
        <f>SUM(C11:E11)</f>
        <v>28504143.331750251</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41215472.471015364</v>
      </c>
      <c r="D12" s="115">
        <f>SUM(D$6:D$7)+IF(AND(OR('Company Information'!$C$12="District of Columbia",'Company Information'!$C$12="Massachusetts",'Company Information'!$C$12="Vermont"),SUM($C$6:$F$11,$C$15:$F$16,$C$37:$D$37)&lt;&gt;0),SUM(I$6:I$7),0)</f>
        <v>41660788.044898145</v>
      </c>
      <c r="E12" s="115">
        <f>SUM(E$6:E$7)-SUM(E$8:E$11)+IF(AND(OR('Company Information'!$C$12="District of Columbia",'Company Information'!$C$12="Massachusetts",'Company Information'!$C$12="Vermont"),SUM($C$6:$F$11,$C$15:$F$16,$C$37:$D$37)&lt;&gt;0),SUM(J$6:J$7)-SUM(J$10:J$11),0)</f>
        <v>241416768.31736431</v>
      </c>
      <c r="F12" s="115">
        <f>IFERROR(SUM(C$12:E$12)+C$17*MAX(0,E$49-C$49)+D$17*MAX(0,E$49-D$49),0)</f>
        <v>324293028.83327782</v>
      </c>
      <c r="G12" s="311"/>
      <c r="H12" s="114">
        <f>SUM(H$6:H$7)+IF(AND(OR('Company Information'!$C$12="District of Columbia",'Company Information'!$C$12="Massachusetts",'Company Information'!$C$12="Vermont"),SUM($H$6:$K$11,$H$15:$K$16,$H$37:$I$37)&lt;&gt;0),SUM(C$6:C$7),0)</f>
        <v>765861.07101834519</v>
      </c>
      <c r="I12" s="115">
        <f>SUM(I$6:I$7)+IF(AND(OR('Company Information'!$C$12="District of Columbia",'Company Information'!$C$12="Massachusetts",'Company Information'!$C$12="Vermont"),SUM($H$6:$K$11,$H$15:$K$16,$H$37:$I$37)&lt;&gt;0),SUM(D$6:D$7),0)</f>
        <v>349363.90993437491</v>
      </c>
      <c r="J12" s="115">
        <f>SUM(J$6:J$7)-SUM(J$10:J$11)+IF(AND(OR('Company Information'!$C$12="District of Columbia",'Company Information'!$C$12="Massachusetts",'Company Information'!$C$12="Vermont"),SUM($H$6:$K$11,$H$15:$K$16,$H$37:$I$37)&lt;&gt;0),SUM(E$6:E$7)-SUM(E$8:E$11),0)</f>
        <v>217988.83730358229</v>
      </c>
      <c r="K12" s="115">
        <f>IFERROR(SUM(H$12:J$12)+H$17*MAX(0,J$49-H$49)+I$17*MAX(0,J$49-I$49),0)</f>
        <v>1333213.8182563025</v>
      </c>
      <c r="L12" s="311"/>
      <c r="M12" s="114">
        <f>SUM(M$6:M$7)</f>
        <v>1776135.4242044925</v>
      </c>
      <c r="N12" s="115">
        <f>SUM(N$6:N$7)</f>
        <v>1650364.0625186325</v>
      </c>
      <c r="O12" s="115">
        <f>SUM(O$6:O$7)</f>
        <v>2683725.0247237207</v>
      </c>
      <c r="P12" s="115">
        <f>SUM(M$12:O$12)+M$17*MAX(0,O$49-M$49)+N$17*MAX(0,O$49-N$49)</f>
        <v>6110224.5114468457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1.15*SUM(AL$6:AL$7)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54824399</v>
      </c>
      <c r="D15" s="118">
        <v>51984819</v>
      </c>
      <c r="E15" s="106">
        <f>SUM('Pt 1 Summary of Data'!E$5:E$7)+SUM('Pt 1 Summary of Data'!G$5:G$7)-SUM('Pt 1 Summary of Data'!H$5:H$7)-SUM(E$9:E$11)+D$55</f>
        <v>292362558.31999999</v>
      </c>
      <c r="F15" s="106">
        <f>SUM(C15:E15)</f>
        <v>399171776.31999999</v>
      </c>
      <c r="G15" s="107">
        <f>SUM('Pt 1 Summary of Data'!I$5:I$7)-SUM(G$9:G$10)</f>
        <v>256861645.05000001</v>
      </c>
      <c r="H15" s="117">
        <v>454412</v>
      </c>
      <c r="I15" s="118">
        <v>471521</v>
      </c>
      <c r="J15" s="106">
        <f>SUM('Pt 1 Summary of Data'!K$5:K$7)+SUM('Pt 1 Summary of Data'!M$5:M$7)-SUM('Pt 1 Summary of Data'!N$5:N$7)-SUM(J$10:J$11)+I$55</f>
        <v>270613</v>
      </c>
      <c r="K15" s="106">
        <f>SUM(H15:J15)</f>
        <v>1196546</v>
      </c>
      <c r="L15" s="107">
        <f>SUM('Pt 1 Summary of Data'!O$5:O$7)-L$10</f>
        <v>0</v>
      </c>
      <c r="M15" s="117">
        <v>2233451</v>
      </c>
      <c r="N15" s="118">
        <v>2391067</v>
      </c>
      <c r="O15" s="106">
        <f>SUM('Pt 1 Summary of Data'!Q$5:Q$7)+SUM('Pt 1 Summary of Data'!S$5:S$7)-SUM('Pt 1 Summary of Data'!T$5:T$7)+N$55</f>
        <v>3071469</v>
      </c>
      <c r="P15" s="106">
        <f>SUM(M15:O15)</f>
        <v>7695987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0</v>
      </c>
      <c r="D16" s="110">
        <v>240313</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15816721.17</v>
      </c>
      <c r="F16" s="115">
        <f>SUM(C16:E16)</f>
        <v>16057034.17</v>
      </c>
      <c r="G16" s="116">
        <f>SUM('Pt 1 Summary of Data'!I$25:I$28,'Pt 1 Summary of Data'!I$30,'Pt 1 Summary of Data'!I$34:I$35)+IF('Company Information'!$C$15="No",IF(MAX('Pt 1 Summary of Data'!I$31:I$32)=0,MIN('Pt 1 Summary of Data'!I$31:I$32),MAX('Pt 1 Summary of Data'!I$31:I$32)),SUM('Pt 1 Summary of Data'!I$31:I$32))</f>
        <v>15264807.632326258</v>
      </c>
      <c r="H16" s="109">
        <v>0</v>
      </c>
      <c r="I16" s="110">
        <v>2176</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6338.1868463475585</v>
      </c>
      <c r="K16" s="115">
        <f>SUM(H16:J16)</f>
        <v>8514.1868463475585</v>
      </c>
      <c r="L16" s="116">
        <f>SUM('Pt 1 Summary of Data'!O$25:O$28,'Pt 1 Summary of Data'!O$30,'Pt 1 Summary of Data'!O$34:O$35)+IF('Company Information'!$C$15="No",IF(MAX('Pt 1 Summary of Data'!O$31:O$32)=0,MIN('Pt 1 Summary of Data'!O$31:O$32),MAX('Pt 1 Summary of Data'!O$31:O$32)),SUM('Pt 1 Summary of Data'!O$31:O$32))</f>
        <v>0</v>
      </c>
      <c r="M16" s="109">
        <v>0</v>
      </c>
      <c r="N16" s="110">
        <v>11040</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95686.201305052935</v>
      </c>
      <c r="P16" s="115">
        <f>SUM(M16:O16)</f>
        <v>106726.20130505293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54824399</v>
      </c>
      <c r="D17" s="115">
        <f>D$15-D$16+IF(AND(OR('Company Information'!$C$12="District of Columbia",'Company Information'!$C$12="Massachusetts",'Company Information'!$C$12="Vermont"),SUM($C$6:$F$11,$C$15:$F$16,$C$37:$D$37)&lt;&gt;0),I$15-I$16,0)</f>
        <v>51744506</v>
      </c>
      <c r="E17" s="115">
        <f>E$15-E$16+IF(AND(OR('Company Information'!$C$12="District of Columbia",'Company Information'!$C$12="Massachusetts",'Company Information'!$C$12="Vermont"),SUM($C$6:$F$11,$C$15:$F$16,$C$37:$D$37)&lt;&gt;0),J$15-J$16,0)</f>
        <v>276545837.14999998</v>
      </c>
      <c r="F17" s="115">
        <f>F$15-F$16+IF(AND(OR('Company Information'!$C$12="District of Columbia",'Company Information'!$C$12="Massachusetts",'Company Information'!$C$12="Vermont"),SUM($C$6:$F$11,$C$15:$F$16,$C$37:$D$37)&lt;&gt;0),K$15-K$16,0)</f>
        <v>383114742.14999998</v>
      </c>
      <c r="G17" s="314"/>
      <c r="H17" s="114">
        <f>H$15-H$16+IF(AND(OR('Company Information'!$C$12="District of Columbia",'Company Information'!$C$12="Massachusetts",'Company Information'!$C$12="Vermont"),SUM($H$6:$K$11,$H$15:$K$16,$H$37:$I$37)&lt;&gt;0),C$15-C$16,0)</f>
        <v>454412</v>
      </c>
      <c r="I17" s="115">
        <f>I$15-I$16+IF(AND(OR('Company Information'!$C$12="District of Columbia",'Company Information'!$C$12="Massachusetts",'Company Information'!$C$12="Vermont"),SUM($H$6:$K$11,$H$15:$K$16,$H$37:$I$37)&lt;&gt;0),D$15-D$16,0)</f>
        <v>469345</v>
      </c>
      <c r="J17" s="115">
        <f>J$15-J$16+IF(AND(OR('Company Information'!$C$12="District of Columbia",'Company Information'!$C$12="Massachusetts",'Company Information'!$C$12="Vermont"),SUM($H$6:$K$11,$H$15:$K$16,$H$37:$I$37)&lt;&gt;0),E$15-E$16,0)</f>
        <v>264274.81315365242</v>
      </c>
      <c r="K17" s="115">
        <f>K$15-K$16+IF(AND(OR('Company Information'!$C$12="District of Columbia",'Company Information'!$C$12="Massachusetts",'Company Information'!$C$12="Vermont"),SUM($H$6:$K$11,$H$15:$K$16,$H$37:$I$37)&lt;&gt;0),F$15-F$16,0)</f>
        <v>1188031.8131536525</v>
      </c>
      <c r="L17" s="314"/>
      <c r="M17" s="114">
        <f>M$15-M$16</f>
        <v>2233451</v>
      </c>
      <c r="N17" s="115">
        <f>N$15-N$16</f>
        <v>2380027</v>
      </c>
      <c r="O17" s="115">
        <f>O$15-O$16</f>
        <v>2975782.7986949473</v>
      </c>
      <c r="P17" s="115">
        <f>P$15-P$16</f>
        <v>7589260.7986949468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238329925.7581161</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38715679.462562323</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0.98647783764689845</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4.07E-2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17080896.405429535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G$15-G$19-G$16-G$20+IF(AND(OR('Company Information'!$C$12="District of Columbia",'Company Information'!$C$12="Massachusetts",'Company Information'!$C$12="Vermont"),SUM($G$6:$G$10,$G$15:$G$16)&lt;&gt;0),L$15-L$16,0)</f>
        <v>-35448767.803004667</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f>(3%+G$22)*(G$15-G$16+IF(AND(OR('Company Information'!$C$12="District of Columbia",'Company Information'!$C$12="Massachusetts",'Company Information'!$C$12="Vermont"),SUM($G$6:$G$10,$G$15:$G$16)&lt;&gt;0),L$15-L$16,0))</f>
        <v>17080896.405429535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71061383.50031811</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G$20+G$23+G$16</f>
        <v>71061383.50031811</v>
      </c>
      <c r="H27" s="292"/>
      <c r="I27" s="288"/>
      <c r="J27" s="288"/>
      <c r="K27" s="288"/>
      <c r="L27" s="116">
        <f>L$20+L$23+L$16</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73417166.398760334</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63584175.115861014</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185800261.5496819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f>MIN(MAX(0,G$27),MAX(0,G$29))</f>
        <v>63584175.115861014</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G$15+IF(AND(OR('Company Information'!$C$12="District of Columbia",'Company Information'!$C$12="Massachusetts",'Company Information'!$C$12="Vermont"),SUM($G$6:$G$10,$G$15:$G$16)&lt;&gt;0),L$15,0)-G$31</f>
        <v>193277469.93413901</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f>IF(G$32=0,0,G$19/G$32)</f>
        <v>1.2330972970586229</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28504143.331750244</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28504143.331750251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20777</v>
      </c>
      <c r="D37" s="122">
        <v>19214.583333333332</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80246.083333333328</v>
      </c>
      <c r="F37" s="256">
        <f>SUM(C$37:E$37)+IF(AND(OR('Company Information'!$C$12="District of Columbia",'Company Information'!$C$12="Massachusetts",'Company Information'!$C$12="Vermont"),SUM($C$6:$F$11,$C$15:$F$16,$C$37:$D$37)&lt;&gt;0,SUM(C$37:D$37)&lt;&gt;SUM(H$37:I$37)),SUM(H$37:I$37),0)</f>
        <v>120237.66666666666</v>
      </c>
      <c r="G37" s="312"/>
      <c r="H37" s="121">
        <v>176</v>
      </c>
      <c r="I37" s="122">
        <v>174.83333333333334</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78.25</v>
      </c>
      <c r="K37" s="256">
        <f>SUM(H$37:J$37)+IF(AND(OR('Company Information'!$C$12="District of Columbia",'Company Information'!$C$12="Massachusetts",'Company Information'!$C$12="Vermont"),SUM($H$6:$K$11,$H$15:$K$16,$H$37:$I$37)&lt;&gt;0,SUM(H$37:I$37)&lt;&gt;SUM(C$37:D$37)),SUM(C$37:D$37),0)</f>
        <v>429.08333333333337</v>
      </c>
      <c r="L37" s="312"/>
      <c r="M37" s="121">
        <v>901</v>
      </c>
      <c r="N37" s="122">
        <v>899.5</v>
      </c>
      <c r="O37" s="256">
        <f>('Pt 1 Summary of Data'!Q$59+'Pt 1 Summary of Data'!S$59-'Pt 1 Summary of Data'!T$59)/12</f>
        <v>1163.5</v>
      </c>
      <c r="P37" s="256">
        <f>SUM(M$37:O$37)</f>
        <v>2964</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4.9215999999999996E-2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 ca="1">IF(OR(P$37&lt;1000,P$37&gt;=75000),0,P$38*P$40)</f>
        <v>4.9215999999999996E-2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IF(OR(C$37&lt;1000,C$17&lt;=0),"",C$12/C$17)</f>
        <v>0.75177244480172711</v>
      </c>
      <c r="D44" s="260">
        <f>IF(OR(D$37&lt;1000,D$17&lt;=0),"",D$12/D$17)</f>
        <v>0.8051248579877861</v>
      </c>
      <c r="E44" s="260">
        <f>IF(OR(E$37&lt;1000,E$17&lt;=0),"",E$12/E$17)</f>
        <v>0.87297198470002113</v>
      </c>
      <c r="F44" s="260">
        <f>IF(OR(F$37&lt;1000,F$17&lt;=0),"",F$12/F$17)</f>
        <v>0.84646450046108679</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f>IF(OR(O$37&lt;1000,O$17&lt;=0),"",O$12/O$17)</f>
        <v>0.90185514409878609</v>
      </c>
      <c r="P44" s="260">
        <f>IF(OR(P$37&lt;1000,P$17&lt;=0),"",P$12/P$17)</f>
        <v>0.80511457881346793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tr">
        <f>IF(OR(Q$37&lt;1000,Q$17&lt;=0),"",Q$13/Q$17)</f>
        <v/>
      </c>
      <c r="R45" s="260" t="str">
        <f t="shared" ref="R45:AB45" si="0">IF(OR(R$37&lt;1000,R$17&lt;=0),"",R$13/R$17)</f>
        <v/>
      </c>
      <c r="S45" s="260" t="str">
        <f t="shared" si="0"/>
        <v/>
      </c>
      <c r="T45" s="260" t="str">
        <f t="shared" si="0"/>
        <v/>
      </c>
      <c r="U45" s="262" t="str">
        <f t="shared" si="0"/>
        <v/>
      </c>
      <c r="V45" s="260" t="str">
        <f t="shared" si="0"/>
        <v/>
      </c>
      <c r="W45" s="260" t="str">
        <f t="shared" si="0"/>
        <v/>
      </c>
      <c r="X45" s="260" t="str">
        <f t="shared" si="0"/>
        <v/>
      </c>
      <c r="Y45" s="262" t="str">
        <f t="shared" si="0"/>
        <v/>
      </c>
      <c r="Z45" s="260" t="str">
        <f t="shared" si="0"/>
        <v/>
      </c>
      <c r="AA45" s="260" t="str">
        <f t="shared" si="0"/>
        <v/>
      </c>
      <c r="AB45" s="260" t="str">
        <f t="shared" si="0"/>
        <v/>
      </c>
      <c r="AC45" s="292"/>
      <c r="AD45" s="288"/>
      <c r="AE45" s="288"/>
      <c r="AF45" s="288"/>
      <c r="AG45" s="292"/>
      <c r="AH45" s="288"/>
      <c r="AI45" s="288"/>
      <c r="AJ45" s="288"/>
      <c r="AK45" s="292"/>
      <c r="AL45" s="260" t="str">
        <f t="shared" ref="AL45:AN45" si="1">IF(OR(AL$37&lt;1000,AL$17&lt;=0),"",AL$13/AL$17)</f>
        <v/>
      </c>
      <c r="AM45" s="260" t="str">
        <f t="shared" si="1"/>
        <v/>
      </c>
      <c r="AN45" s="261" t="str">
        <f t="shared" si="1"/>
        <v/>
      </c>
    </row>
    <row r="46" spans="1:40" x14ac:dyDescent="0.2">
      <c r="B46" s="197" t="s">
        <v>330</v>
      </c>
      <c r="C46" s="292"/>
      <c r="D46" s="288"/>
      <c r="E46" s="288"/>
      <c r="F46" s="260">
        <f>IF(F$44="","",F$41)</f>
        <v>0</v>
      </c>
      <c r="G46" s="311"/>
      <c r="H46" s="292"/>
      <c r="I46" s="288"/>
      <c r="J46" s="288"/>
      <c r="K46" s="260" t="str">
        <f>IF(K$44="","",K$41)</f>
        <v/>
      </c>
      <c r="L46" s="311"/>
      <c r="M46" s="292"/>
      <c r="N46" s="288"/>
      <c r="O46" s="288"/>
      <c r="P46" s="260">
        <f ca="1">IF(P$44="","",P$41)</f>
        <v>4.9215999999999996E-2</v>
      </c>
      <c r="Q46" s="293"/>
      <c r="R46" s="289"/>
      <c r="S46" s="289"/>
      <c r="T46" s="260" t="str">
        <f>IF(T$44="","",T$41)</f>
        <v/>
      </c>
      <c r="U46" s="293"/>
      <c r="V46" s="289"/>
      <c r="W46" s="289"/>
      <c r="X46" s="260" t="str">
        <f>IF(X$44="","",X$41)</f>
        <v/>
      </c>
      <c r="Y46" s="293"/>
      <c r="Z46" s="289"/>
      <c r="AA46" s="289"/>
      <c r="AB46" s="260" t="str">
        <f>IF(AB$44="","",AB$41)</f>
        <v/>
      </c>
      <c r="AC46" s="292"/>
      <c r="AD46" s="288"/>
      <c r="AE46" s="288"/>
      <c r="AF46" s="288"/>
      <c r="AG46" s="292"/>
      <c r="AH46" s="288"/>
      <c r="AI46" s="288"/>
      <c r="AJ46" s="288"/>
      <c r="AK46" s="292"/>
      <c r="AL46" s="289"/>
      <c r="AM46" s="289"/>
      <c r="AN46" s="261" t="str">
        <f>IF(AN$44="","",AN$41)</f>
        <v/>
      </c>
    </row>
    <row r="47" spans="1:40" s="76" customFormat="1" x14ac:dyDescent="0.2">
      <c r="A47" s="143"/>
      <c r="B47" s="199" t="s">
        <v>329</v>
      </c>
      <c r="C47" s="292"/>
      <c r="D47" s="288"/>
      <c r="E47" s="288"/>
      <c r="F47" s="260">
        <f>IF(F$44="","",ROUND(F$44+MAX(0,F$46),3))</f>
        <v>0.84599999999999997</v>
      </c>
      <c r="G47" s="311"/>
      <c r="H47" s="292"/>
      <c r="I47" s="288"/>
      <c r="J47" s="288"/>
      <c r="K47" s="260" t="str">
        <f>IF(K$44="","",ROUND(K$44+MAX(0,K$46),3))</f>
        <v/>
      </c>
      <c r="L47" s="311"/>
      <c r="M47" s="292"/>
      <c r="N47" s="288"/>
      <c r="O47" s="288"/>
      <c r="P47" s="260">
        <f ca="1">IF(P$44="","",ROUND(P$44+MAX(0,P$46),3))</f>
        <v>0.85399999999999998</v>
      </c>
      <c r="Q47" s="292"/>
      <c r="R47" s="288"/>
      <c r="S47" s="288"/>
      <c r="T47" s="260" t="str">
        <f>IF(T$44="","",ROUND(T$44+MAX(0,T$46),3))</f>
        <v/>
      </c>
      <c r="U47" s="292"/>
      <c r="V47" s="288"/>
      <c r="W47" s="288"/>
      <c r="X47" s="260" t="str">
        <f>IF(X$44="","",ROUND(X$44+MAX(0,X$46),3))</f>
        <v/>
      </c>
      <c r="Y47" s="292"/>
      <c r="Z47" s="288"/>
      <c r="AA47" s="288"/>
      <c r="AB47" s="260" t="str">
        <f>IF(AB$44="","",ROUND(AB$44+MAX(0,AB$46),3))</f>
        <v/>
      </c>
      <c r="AC47" s="292"/>
      <c r="AD47" s="288"/>
      <c r="AE47" s="288"/>
      <c r="AF47" s="288"/>
      <c r="AG47" s="292"/>
      <c r="AH47" s="288"/>
      <c r="AI47" s="288"/>
      <c r="AJ47" s="288"/>
      <c r="AK47" s="292"/>
      <c r="AL47" s="288"/>
      <c r="AM47" s="288"/>
      <c r="AN47" s="261" t="str">
        <f>IF(AN$44="","",ROUND(AN$44+MAX(0,AN$46),3))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0.84599999999999997</v>
      </c>
      <c r="G50" s="311"/>
      <c r="H50" s="293"/>
      <c r="I50" s="289"/>
      <c r="J50" s="289"/>
      <c r="K50" s="260" t="str">
        <f>K$47</f>
        <v/>
      </c>
      <c r="L50" s="311"/>
      <c r="M50" s="293"/>
      <c r="N50" s="289"/>
      <c r="O50" s="289"/>
      <c r="P50" s="260">
        <f ca="1">P$47</f>
        <v>0.85399999999999998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276545837.14999998</v>
      </c>
      <c r="G51" s="311"/>
      <c r="H51" s="292"/>
      <c r="I51" s="288"/>
      <c r="J51" s="288"/>
      <c r="K51" s="115" t="str">
        <f>IF(K$37&lt;1000,"",MAX(0,J$15-J$16))</f>
        <v/>
      </c>
      <c r="L51" s="311"/>
      <c r="M51" s="292"/>
      <c r="N51" s="288"/>
      <c r="O51" s="288"/>
      <c r="P51" s="115">
        <f>IF(P$37&lt;1000,"",MAX(0,O$15-O$16))</f>
        <v>2975782.7986949473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67874</v>
      </c>
      <c r="D4" s="149">
        <v>55</v>
      </c>
      <c r="E4" s="149">
        <v>924</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1293613</v>
      </c>
      <c r="D16" s="119"/>
      <c r="E16" s="119">
        <v>28560</v>
      </c>
      <c r="F16" s="119"/>
      <c r="G16" s="119"/>
      <c r="H16" s="119"/>
      <c r="I16" s="312"/>
      <c r="J16" s="312"/>
      <c r="K16" s="365"/>
    </row>
    <row r="17" spans="2:12" s="5" customFormat="1" x14ac:dyDescent="0.2">
      <c r="B17" s="207" t="s">
        <v>203</v>
      </c>
      <c r="C17" s="109">
        <v>0</v>
      </c>
      <c r="D17" s="113"/>
      <c r="E17" s="113">
        <v>0</v>
      </c>
      <c r="F17" s="113"/>
      <c r="G17" s="113"/>
      <c r="H17" s="113"/>
      <c r="I17" s="311"/>
      <c r="J17" s="311"/>
      <c r="K17" s="366"/>
    </row>
    <row r="18" spans="2:12" ht="25.5" x14ac:dyDescent="0.2">
      <c r="B18" s="155" t="s">
        <v>207</v>
      </c>
      <c r="C18" s="369">
        <v>1</v>
      </c>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v>1</v>
      </c>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500</v>
      </c>
      <c r="D23" s="382"/>
      <c r="E23" s="382"/>
      <c r="F23" s="382"/>
      <c r="G23" s="382"/>
      <c r="H23" s="382"/>
      <c r="I23" s="382"/>
      <c r="J23" s="382"/>
      <c r="K23" s="383"/>
    </row>
    <row r="24" spans="2:12" s="5" customFormat="1" ht="100.15" customHeight="1" x14ac:dyDescent="0.2">
      <c r="B24" s="101" t="s">
        <v>213</v>
      </c>
      <c r="C24" s="384" t="s">
        <v>501</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60" zoomScaleNormal="60" workbookViewId="0">
      <pane xSplit="2" ySplit="3" topLeftCell="C199"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508</v>
      </c>
      <c r="C48" s="150"/>
      <c r="D48" s="222" t="s">
        <v>509</v>
      </c>
      <c r="E48" s="7"/>
    </row>
    <row r="49" spans="2:5" ht="35.25" customHeight="1" x14ac:dyDescent="0.2">
      <c r="B49" s="219" t="s">
        <v>510</v>
      </c>
      <c r="C49" s="150"/>
      <c r="D49" s="222" t="s">
        <v>509</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511</v>
      </c>
      <c r="C56" s="152"/>
      <c r="D56" s="222"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511</v>
      </c>
      <c r="C78" s="152"/>
      <c r="D78" s="222" t="s">
        <v>512</v>
      </c>
      <c r="E78" s="7"/>
    </row>
    <row r="79" spans="2:5" ht="35.25" customHeight="1" x14ac:dyDescent="0.2">
      <c r="B79" s="219" t="s">
        <v>513</v>
      </c>
      <c r="C79" s="152"/>
      <c r="D79" s="222" t="s">
        <v>514</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511</v>
      </c>
      <c r="C89" s="152"/>
      <c r="D89" s="222"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515</v>
      </c>
      <c r="C100" s="152"/>
      <c r="D100" s="222" t="s">
        <v>509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7" t="s">
        <v>516</v>
      </c>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7" t="s">
        <v>518</v>
      </c>
      <c r="C134" s="150"/>
      <c r="D134" s="222" t="s">
        <v>517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7" t="s">
        <v>519</v>
      </c>
      <c r="C156" s="150"/>
      <c r="D156" s="222" t="s">
        <v>520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521</v>
      </c>
      <c r="C167" s="150"/>
      <c r="D167" s="222" t="s">
        <v>509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7" t="s">
        <v>522</v>
      </c>
      <c r="C178" s="150"/>
      <c r="D178" s="222" t="s">
        <v>523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purl.org/dc/terms/"/>
    <ds:schemaRef ds:uri="http://www.w3.org/XML/1998/namespace"/>
    <ds:schemaRef ds:uri="http://schemas.openxmlformats.org/package/2006/metadata/core-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Amy Do</cp:lastModifiedBy>
  <cp:lastPrinted>2014-12-18T11:24:00Z</cp:lastPrinted>
  <dcterms:created xsi:type="dcterms:W3CDTF">2012-03-15T16:14:51Z</dcterms:created>
  <dcterms:modified xsi:type="dcterms:W3CDTF">2015-09-14T21:14:47Z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