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548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L16" i="10" l="1"/>
  <c r="G7" i="10" l="1"/>
  <c r="P38" i="10" l="1"/>
  <c r="G16" i="10" l="1"/>
  <c r="N44" i="10" l="1"/>
  <c r="M44" i="10"/>
  <c r="P40" i="10"/>
  <c r="O37" i="10"/>
  <c r="O44" i="10" s="1"/>
  <c r="N17" i="10"/>
  <c r="M17" i="10"/>
  <c r="O16" i="10"/>
  <c r="O15" i="10"/>
  <c r="P15" i="10" s="1"/>
  <c r="P16" i="10"/>
  <c r="O12" i="10"/>
  <c r="N12" i="10"/>
  <c r="P12" i="10" s="1"/>
  <c r="M12" i="10"/>
  <c r="O7" i="10"/>
  <c r="O6" i="10"/>
  <c r="P7" i="10"/>
  <c r="P6" i="10"/>
  <c r="I44" i="10"/>
  <c r="H44" i="10"/>
  <c r="K40" i="10"/>
  <c r="J37" i="10"/>
  <c r="L29" i="10"/>
  <c r="L20" i="10"/>
  <c r="L19" i="10"/>
  <c r="L24" i="10" s="1"/>
  <c r="L15" i="10"/>
  <c r="I17" i="10"/>
  <c r="H17" i="10"/>
  <c r="J16" i="10"/>
  <c r="K16" i="10"/>
  <c r="L10" i="10"/>
  <c r="J12" i="10"/>
  <c r="I12" i="10"/>
  <c r="H12" i="10"/>
  <c r="J11" i="10"/>
  <c r="K11" i="10" s="1"/>
  <c r="K12" i="10" s="1"/>
  <c r="J10" i="10"/>
  <c r="K10" i="10" s="1"/>
  <c r="L7" i="10"/>
  <c r="L6" i="10"/>
  <c r="J7" i="10"/>
  <c r="K7" i="10" s="1"/>
  <c r="J6" i="10"/>
  <c r="K6" i="10"/>
  <c r="D44" i="10"/>
  <c r="C44" i="10"/>
  <c r="F40" i="10"/>
  <c r="E37" i="10"/>
  <c r="F37" i="10" s="1"/>
  <c r="G20" i="10"/>
  <c r="D17" i="10"/>
  <c r="C17" i="10"/>
  <c r="E16" i="10"/>
  <c r="F16" i="10"/>
  <c r="D12" i="10"/>
  <c r="C12" i="10"/>
  <c r="G10" i="10"/>
  <c r="G9" i="10"/>
  <c r="E11" i="10"/>
  <c r="F11" i="10" s="1"/>
  <c r="E10" i="10"/>
  <c r="E9" i="10"/>
  <c r="F9" i="10" s="1"/>
  <c r="F10" i="10"/>
  <c r="E7" i="10"/>
  <c r="F7" i="10"/>
  <c r="K37" i="10" l="1"/>
  <c r="P37" i="10"/>
  <c r="P41" i="10" s="1"/>
  <c r="P17" i="10"/>
  <c r="O17" i="10"/>
  <c r="L21" i="10"/>
  <c r="Q54" i="18"/>
  <c r="Q12" i="4" s="1"/>
  <c r="P54" i="18"/>
  <c r="O54" i="18"/>
  <c r="K54" i="18"/>
  <c r="J54" i="18"/>
  <c r="I54" i="18"/>
  <c r="E54" i="18"/>
  <c r="E12" i="4" s="1"/>
  <c r="E6" i="10" s="1"/>
  <c r="AT12" i="4"/>
  <c r="P12" i="4"/>
  <c r="O12" i="4"/>
  <c r="K12" i="4"/>
  <c r="J12" i="4"/>
  <c r="I12" i="4"/>
  <c r="G6" i="10" s="1"/>
  <c r="G19" i="10" s="1"/>
  <c r="F6" i="10" l="1"/>
  <c r="F12" i="10" s="1"/>
  <c r="E12" i="10"/>
  <c r="P51" i="10"/>
  <c r="P44" i="10"/>
  <c r="P46" i="10" s="1"/>
  <c r="P47" i="10" s="1"/>
  <c r="P50" i="10" s="1"/>
  <c r="P52" i="10" s="1"/>
  <c r="K41" i="10"/>
  <c r="AT5" i="4"/>
  <c r="Q5" i="4"/>
  <c r="P5" i="4"/>
  <c r="O5" i="4"/>
  <c r="K5" i="4"/>
  <c r="J15" i="10" s="1"/>
  <c r="J5" i="4"/>
  <c r="I5" i="4"/>
  <c r="G15" i="10" s="1"/>
  <c r="E5" i="4"/>
  <c r="E15" i="10" s="1"/>
  <c r="D5" i="4"/>
  <c r="AT54" i="18"/>
  <c r="D54" i="18"/>
  <c r="K15" i="10" l="1"/>
  <c r="K17" i="10" s="1"/>
  <c r="K44" i="10" s="1"/>
  <c r="K47" i="10" s="1"/>
  <c r="K50" i="10" s="1"/>
  <c r="K52" i="10" s="1"/>
  <c r="J17" i="10"/>
  <c r="J44" i="10" s="1"/>
  <c r="K38" i="10" s="1"/>
  <c r="K51" i="10"/>
  <c r="L28" i="10"/>
  <c r="G28" i="10"/>
  <c r="L25" i="10"/>
  <c r="L23" i="10" s="1"/>
  <c r="L27" i="10" s="1"/>
  <c r="G29" i="10"/>
  <c r="G25" i="10"/>
  <c r="G24" i="10"/>
  <c r="G21" i="10"/>
  <c r="F51" i="10"/>
  <c r="F15" i="10"/>
  <c r="F17" i="10" s="1"/>
  <c r="F44" i="10" s="1"/>
  <c r="E17" i="10"/>
  <c r="E44" i="10" s="1"/>
  <c r="K46" i="10"/>
  <c r="AT60" i="4"/>
  <c r="Q60" i="4"/>
  <c r="P60" i="4"/>
  <c r="O60" i="4"/>
  <c r="K60" i="4"/>
  <c r="J60" i="4"/>
  <c r="I60" i="4"/>
  <c r="E60" i="4"/>
  <c r="D60" i="4"/>
  <c r="D12" i="4"/>
  <c r="AT55" i="18"/>
  <c r="Q55" i="18"/>
  <c r="P55" i="18"/>
  <c r="O55" i="18"/>
  <c r="F38" i="10" l="1"/>
  <c r="F41" i="10" s="1"/>
  <c r="F46" i="10" s="1"/>
  <c r="F47" i="10" s="1"/>
  <c r="F50" i="10" s="1"/>
  <c r="F52" i="10" s="1"/>
  <c r="G23" i="10"/>
  <c r="G27" i="10" s="1"/>
  <c r="L31" i="10"/>
  <c r="L32" i="10" s="1"/>
  <c r="L33" i="10" s="1"/>
  <c r="L26" i="10"/>
  <c r="L30" i="10" s="1"/>
  <c r="K55" i="18"/>
  <c r="J55" i="18"/>
  <c r="I55" i="18"/>
  <c r="E55" i="18"/>
  <c r="D55" i="18"/>
  <c r="G26" i="10" l="1"/>
  <c r="G30" i="10" s="1"/>
  <c r="G31" i="10"/>
  <c r="G32" i="10" s="1"/>
  <c r="G33" i="10" s="1"/>
</calcChain>
</file>

<file path=xl/sharedStrings.xml><?xml version="1.0" encoding="utf-8"?>
<sst xmlns="http://schemas.openxmlformats.org/spreadsheetml/2006/main" count="616" uniqueCount="547">
  <si>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</si>
  <si>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</si>
  <si>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</si>
  <si>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</si>
  <si>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</si>
  <si>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</si>
  <si>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</si>
  <si>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</si>
  <si>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</si>
  <si>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</si>
  <si>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</si>
  <si>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</si>
  <si>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</si>
  <si>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</si>
  <si>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</si>
  <si>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</si>
  <si>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</si>
  <si>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</si>
  <si>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</si>
  <si>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</si>
  <si>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</si>
  <si>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</si>
  <si>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</si>
  <si>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</si>
  <si>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</si>
  <si>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</si>
  <si>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</si>
  <si>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</si>
  <si>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</si>
  <si>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</si>
  <si>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</si>
  <si>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</si>
  <si>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</si>
  <si>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</si>
  <si>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</si>
  <si>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</si>
  <si>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</si>
  <si>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</si>
  <si>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</si>
  <si>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</si>
  <si>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</si>
  <si>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</si>
  <si>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</si>
  <si>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</si>
  <si>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</si>
  <si>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</si>
  <si>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</si>
  <si>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</si>
  <si>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</si>
  <si>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</si>
  <si>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</si>
  <si>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</si>
  <si>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</si>
  <si>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</si>
  <si>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</si>
  <si>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</si>
  <si>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</si>
  <si>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</si>
  <si>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</si>
  <si>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</si>
  <si>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</si>
  <si>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</si>
  <si>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</si>
  <si>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</si>
  <si>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</si>
  <si>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</si>
  <si>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</si>
  <si>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</si>
  <si>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</si>
  <si>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</si>
  <si>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</si>
  <si>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</si>
  <si>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</si>
  <si>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</si>
  <si>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</si>
  <si>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</si>
  <si>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</si>
  <si>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</si>
  <si>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</si>
  <si>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</si>
  <si>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</si>
  <si>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</si>
  <si>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</si>
  <si>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</si>
  <si>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</si>
  <si>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</si>
  <si>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</si>
  <si>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</si>
  <si>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</si>
  <si>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</si>
  <si>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</si>
  <si>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</si>
  <si>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</si>
  <si>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</si>
  <si>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</si>
  <si>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</si>
  <si>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</si>
  <si>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</si>
  <si>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</si>
  <si>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</si>
  <si>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</si>
  <si>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</si>
  <si>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</si>
  <si>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</si>
  <si>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</si>
  <si>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</si>
  <si>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</si>
  <si>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</si>
  <si>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</si>
  <si>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</si>
  <si>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</si>
  <si>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</si>
  <si>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</si>
  <si>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</si>
  <si>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</si>
  <si>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</si>
  <si>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</si>
  <si>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</si>
  <si>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</si>
  <si>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</si>
  <si>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</si>
  <si>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</si>
  <si>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</si>
  <si>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</si>
  <si>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</si>
  <si>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</si>
  <si>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</si>
  <si>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</si>
  <si>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</si>
  <si>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</si>
  <si>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</si>
  <si>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</si>
  <si>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</si>
  <si>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</si>
  <si>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</si>
  <si>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</si>
  <si>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</si>
  <si>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</si>
  <si>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</si>
  <si>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</si>
  <si>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</si>
  <si>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</si>
  <si>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</si>
  <si>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</si>
  <si>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</si>
  <si>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</si>
  <si>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</si>
  <si>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</si>
  <si>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</si>
  <si>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</si>
  <si>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</si>
  <si>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</si>
  <si>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</si>
  <si>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</si>
  <si>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</si>
  <si>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</si>
  <si>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</si>
  <si>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</si>
  <si>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</si>
  <si>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</si>
  <si>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</si>
  <si>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</si>
  <si>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</si>
  <si>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</si>
  <si>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</si>
  <si>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</si>
  <si>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</si>
  <si>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</si>
  <si>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</si>
  <si>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</si>
  <si>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</si>
  <si>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</si>
  <si>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</si>
  <si>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</si>
  <si>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</si>
  <si>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</si>
  <si>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</si>
  <si>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</si>
  <si>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</si>
  <si>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</si>
  <si>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</si>
  <si>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</si>
  <si>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</si>
  <si>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</si>
  <si>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</si>
  <si>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</si>
  <si>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</si>
  <si>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</si>
  <si>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</si>
  <si>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</si>
  <si>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</si>
  <si>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</si>
  <si>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</si>
  <si>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</si>
  <si>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</si>
  <si>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</si>
  <si>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</si>
  <si>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</si>
  <si>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</si>
  <si>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</si>
  <si>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</si>
  <si>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</si>
  <si>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</si>
  <si>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</si>
  <si>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</si>
  <si>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</si>
  <si>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</si>
  <si>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</si>
  <si>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</si>
  <si>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</si>
  <si>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</si>
  <si>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</si>
  <si>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</si>
  <si>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</si>
  <si>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</si>
  <si>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</si>
  <si>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</si>
  <si>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</si>
  <si>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</si>
  <si>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</si>
  <si>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</si>
  <si>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</si>
  <si>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</si>
  <si>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</si>
  <si>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</si>
  <si>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</si>
  <si>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</si>
  <si>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</si>
  <si>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</si>
  <si>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</si>
  <si>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</si>
  <si>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</si>
  <si>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</si>
  <si>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</si>
  <si>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</si>
  <si>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</si>
  <si>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</si>
  <si>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</si>
  <si>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</si>
  <si>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</si>
  <si>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</si>
  <si>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</si>
  <si>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</si>
  <si>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</si>
  <si>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</si>
  <si>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</si>
  <si>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</si>
  <si>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</si>
  <si>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</si>
  <si>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</si>
  <si>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</si>
  <si>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</si>
  <si>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</si>
  <si>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</si>
  <si>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</si>
  <si>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</si>
  <si>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</si>
  <si>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</si>
  <si>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</si>
  <si>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</si>
  <si>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</si>
  <si>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</si>
  <si>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</si>
  <si>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</si>
  <si>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</si>
  <si>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</si>
  <si>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</si>
  <si>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</si>
  <si>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</si>
  <si>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</si>
  <si>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</si>
  <si>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</si>
  <si>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</si>
  <si>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</si>
  <si>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</si>
  <si>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</si>
  <si>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</si>
  <si>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</si>
  <si>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</si>
  <si>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</si>
  <si>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</si>
  <si>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</si>
  <si>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</si>
  <si>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</si>
  <si>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</si>
  <si>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</si>
  <si>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</si>
  <si>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</si>
  <si>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</si>
  <si>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</si>
  <si>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</si>
  <si>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</si>
  <si>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</si>
  <si>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</si>
  <si>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</si>
  <si>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</si>
  <si>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</si>
  <si>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</si>
  <si>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</si>
  <si>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</si>
  <si>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</si>
  <si>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</si>
  <si>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</si>
  <si>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</si>
  <si>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</si>
  <si>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</si>
  <si>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</si>
  <si>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</si>
  <si>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</si>
  <si>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</si>
  <si>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</si>
  <si>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</si>
  <si>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</si>
  <si>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</si>
  <si>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</si>
  <si>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</si>
  <si>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</si>
  <si>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</si>
  <si>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</si>
  <si>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</si>
  <si>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</si>
  <si>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</si>
  <si>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</si>
  <si>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</si>
  <si>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</si>
  <si>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</si>
  <si>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</si>
  <si>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</si>
  <si>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</si>
  <si>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</si>
  <si>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</si>
  <si>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</si>
  <si>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</si>
  <si>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</si>
  <si>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</si>
  <si>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</si>
  <si>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</si>
  <si>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</si>
  <si>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</si>
  <si>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</si>
  <si>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</si>
  <si>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</si>
  <si>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</si>
  <si>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</si>
  <si>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</si>
  <si>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</si>
  <si>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</si>
  <si>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</si>
  <si>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</si>
  <si>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</si>
  <si>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</si>
  <si>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</si>
  <si>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</si>
  <si>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</si>
  <si>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</si>
  <si>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</si>
  <si>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</si>
  <si>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</si>
  <si>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</si>
  <si>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</si>
  <si>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</si>
  <si>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</si>
  <si>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</si>
  <si>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</si>
  <si>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</si>
  <si>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</si>
  <si>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</si>
  <si>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</si>
  <si>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</si>
  <si>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</si>
  <si>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</si>
  <si>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</si>
  <si>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</si>
  <si>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</si>
  <si>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</si>
  <si>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</si>
  <si>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</si>
  <si>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</si>
  <si>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</si>
  <si>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</si>
  <si>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</si>
  <si>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</si>
  <si>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</si>
  <si>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</si>
  <si>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</si>
  <si>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</si>
  <si>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</si>
  <si>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</si>
  <si>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</si>
  <si>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</si>
  <si>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</si>
  <si>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</si>
  <si>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</si>
  <si>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</si>
  <si>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</si>
  <si>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</si>
  <si>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</si>
  <si>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</si>
  <si>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</si>
  <si>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</si>
  <si>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</si>
  <si>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</si>
  <si>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</si>
  <si>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</si>
  <si>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</si>
  <si>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</si>
  <si>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</si>
  <si>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</si>
  <si>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</si>
  <si>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</si>
  <si>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</si>
  <si>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</si>
  <si>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</si>
  <si>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</si>
  <si>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</si>
  <si>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</si>
  <si>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</si>
  <si>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</si>
  <si>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</si>
  <si>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</si>
  <si>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</si>
  <si>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</si>
  <si>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</si>
  <si>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</si>
  <si>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</si>
  <si>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</si>
  <si>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</si>
  <si>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</si>
  <si>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</si>
  <si>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</si>
  <si>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</si>
  <si>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</si>
  <si>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</si>
  <si>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</si>
  <si>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</si>
  <si>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</si>
  <si>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</si>
  <si>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</si>
  <si>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</si>
  <si>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</si>
  <si>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</si>
  <si>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</si>
  <si>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</si>
  <si>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</si>
  <si>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</si>
  <si>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</si>
  <si>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</si>
  <si>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</si>
  <si>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</si>
  <si>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</si>
  <si>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</si>
  <si>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</si>
  <si>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</si>
  <si>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</si>
  <si>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</si>
  <si>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</si>
  <si>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</si>
  <si>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</si>
  <si>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</si>
  <si>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</si>
  <si>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</si>
  <si>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</si>
  <si>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</si>
  <si>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</si>
  <si>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</si>
  <si>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</si>
  <si>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</si>
  <si>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</si>
  <si>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</si>
  <si>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</si>
  <si>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</si>
  <si>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</si>
  <si>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</si>
  <si>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</si>
  <si>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</si>
  <si>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</si>
  <si>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</si>
  <si>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</si>
  <si>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</si>
  <si>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</si>
  <si>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</si>
  <si>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</si>
  <si>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</si>
  <si>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</si>
  <si>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</si>
  <si>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</si>
  <si>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</si>
  <si>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</si>
  <si>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</si>
  <si>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</si>
  <si>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</si>
  <si>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</si>
  <si>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</si>
  <si>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</si>
  <si>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Summa Insurance Company, Inc.</t>
  </si>
  <si>
    <t>Summa Hlth Grp</t>
  </si>
  <si>
    <t>SummaCare</t>
  </si>
  <si>
    <t>03259</t>
  </si>
  <si>
    <t>2014</t>
  </si>
  <si>
    <t>10 N. Main Street Akron, OH 44308</t>
  </si>
  <si>
    <t>341809108</t>
  </si>
  <si>
    <t>012024</t>
  </si>
  <si>
    <t>10649</t>
  </si>
  <si>
    <t>353</t>
  </si>
  <si>
    <t>Incurred Claims, Unpaid Claims Liability, Paid Claims</t>
  </si>
  <si>
    <t>The Company's claims processing system is configured to accumulate and report claims paid data by individual, small group</t>
  </si>
  <si>
    <t xml:space="preserve">incurred but not reported (IBNR). A separate lag is maintained for the indiviudal, small group and large group business </t>
  </si>
  <si>
    <t>segments. Incurred claims are calculated as paid claims, plus the current year claims liability, minus the prior year claims</t>
  </si>
  <si>
    <t>liability.</t>
  </si>
  <si>
    <t xml:space="preserve">and large group business segments. In addition, the company utilizes a claims lag model to estimate claims that have been </t>
  </si>
  <si>
    <t>Exchange User Fee</t>
  </si>
  <si>
    <t>PCORI Fee</t>
  </si>
  <si>
    <t>This fee is calculated based on market share and is allocated to the business segments based on premium revenue.</t>
  </si>
  <si>
    <t>This fee is calculated as 3.5% of on exchange premium revenue.</t>
  </si>
  <si>
    <t>Transitional Reinsurance Contributions related to employer groups</t>
  </si>
  <si>
    <t>Annual Fee on Health Insurers</t>
  </si>
  <si>
    <t>This fee is calculated as $2 per member and is allocated to the business segments based on membership.</t>
  </si>
  <si>
    <t>This fee is calculated as $63 PMPM and is allocated to this business segments based on membership.</t>
  </si>
  <si>
    <t>State Premium  Taxes</t>
  </si>
  <si>
    <t>State premium taxes are allocated to business segments based on premium revenue.</t>
  </si>
  <si>
    <t>State and federal regulatory licenses and fees</t>
  </si>
  <si>
    <t>Case management, care coordination, disease management</t>
  </si>
  <si>
    <t>These expenses are allocated to the business segments based on proportionate share of incurred claims.</t>
  </si>
  <si>
    <t>Regulatory licenses and fees are allocated to the business segments based proportionate share of incurred claims.</t>
  </si>
  <si>
    <t>Identification of best clinical practices</t>
  </si>
  <si>
    <t>Programs to promote health and wellness</t>
  </si>
  <si>
    <t>Wellness assessments</t>
  </si>
  <si>
    <t>Coaching and education programs and health promotion activities</t>
  </si>
  <si>
    <t>Comprehensive discharge planning</t>
  </si>
  <si>
    <t>Monitoring and measuring clinical effectiveness</t>
  </si>
  <si>
    <t>Advancing the ability to communicate patient clinical information</t>
  </si>
  <si>
    <t>Costs to maintain NCQA accreditation</t>
  </si>
  <si>
    <t>Review of HEDIS measures</t>
  </si>
  <si>
    <t>These expenes are allocated to the business segments based on proportionate share of incurred claims.</t>
  </si>
  <si>
    <t>Claims Recovery Department Expenses</t>
  </si>
  <si>
    <t>Claims Department expenses</t>
  </si>
  <si>
    <t xml:space="preserve">Sales salaries and benefits that were directly related to a specific business segment were assigned to that business </t>
  </si>
  <si>
    <t>segment. Sales salaries and benefits related to small and large group were allocated based on proportionate share of</t>
  </si>
  <si>
    <t>incurred claims.</t>
  </si>
  <si>
    <t>Broker Commissions</t>
  </si>
  <si>
    <t xml:space="preserve">Broker commissionss that were directly related to a specific business segment were assigned to that business </t>
  </si>
  <si>
    <t>segment. Broker commissions related to small and large group were allocated based on proportionate share of</t>
  </si>
  <si>
    <t>Payroll Taxes</t>
  </si>
  <si>
    <t>Other general administrative expenses</t>
  </si>
  <si>
    <t>Arranging transitions from one setting to another</t>
  </si>
  <si>
    <t>Appeals and Grievances Department expenses</t>
  </si>
  <si>
    <t>Direct sales salaries and benefits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</si>
</sst>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23"/>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0" fillId="28" borderId="107"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C%20MLR_Template_Oh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0">
          <cell r="K60">
            <v>34970</v>
          </cell>
          <cell r="Q60">
            <v>12758.916666666666</v>
          </cell>
        </row>
      </sheetData>
      <sheetData sheetId="2"/>
      <sheetData sheetId="3"/>
      <sheetData sheetId="4"/>
      <sheetData sheetId="5"/>
      <sheetData sheetId="6"/>
      <sheetData sheetId="7"/>
      <sheetData sheetId="8">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27845235</v>
      </c>
      <c r="E5" s="106">
        <f>'Pt 2 Premium and Claims'!E5+'Pt 2 Premium and Claims'!E6-'Pt 2 Premium and Claims'!E7-'Pt 2 Premium and Claims'!E13+'Pt 2 Premium and Claims'!E14+'Pt 2 Premium and Claims'!E15+'Pt 2 Premium and Claims'!E16+'Pt 2 Premium and Claims'!E17</f>
        <v>26515813</v>
      </c>
      <c r="F5" s="106"/>
      <c r="G5" s="106"/>
      <c r="H5" s="106"/>
      <c r="I5" s="105">
        <f>'Pt 2 Premium and Claims'!I5+'Pt 2 Premium and Claims'!I6-'Pt 2 Premium and Claims'!I7-'Pt 2 Premium and Claims'!I13+'Pt 2 Premium and Claims'!I14+'Pt 2 Premium and Claims'!I15+'Pt 2 Premium and Claims'!I16+'Pt 2 Premium and Claims'!I17</f>
        <v>21527245</v>
      </c>
      <c r="J5" s="105">
        <f>'Pt 2 Premium and Claims'!J5+'Pt 2 Premium and Claims'!J6-'Pt 2 Premium and Claims'!J7-'Pt 2 Premium and Claims'!J13+'Pt 2 Premium and Claims'!J14+'Pt 2 Premium and Claims'!J15+'Pt 2 Premium and Claims'!J16+'Pt 2 Premium and Claims'!J17</f>
        <v>156897861</v>
      </c>
      <c r="K5" s="106">
        <f>'Pt 2 Premium and Claims'!K5+'Pt 2 Premium and Claims'!K6-'Pt 2 Premium and Claims'!K7-'Pt 2 Premium and Claims'!K13+'Pt 2 Premium and Claims'!K14+'Pt 2 Premium and Claims'!K15+'Pt 2 Premium and Claims'!K16+'Pt 2 Premium and Claims'!K17</f>
        <v>156897861</v>
      </c>
      <c r="L5" s="106"/>
      <c r="M5" s="106"/>
      <c r="N5" s="106"/>
      <c r="O5" s="105">
        <f>'Pt 2 Premium and Claims'!O5+'Pt 2 Premium and Claims'!O6-'Pt 2 Premium and Claims'!O7-'Pt 2 Premium and Claims'!O13+'Pt 2 Premium and Claims'!O14+'Pt 2 Premium and Claims'!O15+'Pt 2 Premium and Claims'!O16+'Pt 2 Premium and Claims'!O17</f>
        <v>11951590</v>
      </c>
      <c r="P5" s="105">
        <f>'Pt 2 Premium and Claims'!P5+'Pt 2 Premium and Claims'!P6-'Pt 2 Premium and Claims'!P7-'Pt 2 Premium and Claims'!P13+'Pt 2 Premium and Claims'!P14+'Pt 2 Premium and Claims'!P15+'Pt 2 Premium and Claims'!P16+'Pt 2 Premium and Claims'!P17</f>
        <v>57736425</v>
      </c>
      <c r="Q5" s="106">
        <f>'Pt 2 Premium and Claims'!Q5+'Pt 2 Premium and Claims'!Q6-'Pt 2 Premium and Claims'!Q7-'Pt 2 Premium and Claims'!Q13+'Pt 2 Premium and Claims'!Q14+'Pt 2 Premium and Claims'!Q15+'Pt 2 Premium and Claims'!Q16+'Pt 2 Premium and Claims'!Q17</f>
        <v>57736425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Claims'!AT7-'Pt 2 Premium and Claims'!AT13+'Pt 2 Premium and Claims'!AT14+'Pt 2 Premium and Claims'!AT15+'Pt 2 Premium and Claims'!AT16+'Pt 2 Premium and Claims'!AT17</f>
        <v>1576166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-686503</v>
      </c>
      <c r="E8" s="289"/>
      <c r="F8" s="290"/>
      <c r="G8" s="290"/>
      <c r="H8" s="290"/>
      <c r="I8" s="293"/>
      <c r="J8" s="109">
        <v>-1646007</v>
      </c>
      <c r="K8" s="289"/>
      <c r="L8" s="290"/>
      <c r="M8" s="290"/>
      <c r="N8" s="290"/>
      <c r="O8" s="293"/>
      <c r="P8" s="109">
        <v>-606118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23173383</v>
      </c>
      <c r="E12" s="106">
        <f>'Pt 2 Premium and Claims'!E54</f>
        <v>22986321</v>
      </c>
      <c r="F12" s="106"/>
      <c r="G12" s="106"/>
      <c r="H12" s="106"/>
      <c r="I12" s="105">
        <f>'Pt 2 Premium and Claims'!I54</f>
        <v>19749550</v>
      </c>
      <c r="J12" s="105">
        <f>'Pt 2 Premium and Claims'!J54</f>
        <v>144248226</v>
      </c>
      <c r="K12" s="106">
        <f>'Pt 2 Premium and Claims'!K54</f>
        <v>141956681</v>
      </c>
      <c r="L12" s="106"/>
      <c r="M12" s="106"/>
      <c r="N12" s="106"/>
      <c r="O12" s="105">
        <f>'Pt 2 Premium and Claims'!O54</f>
        <v>10639639</v>
      </c>
      <c r="P12" s="105">
        <f>'Pt 2 Premium and Claims'!P54</f>
        <v>48233748</v>
      </c>
      <c r="Q12" s="106">
        <f>'Pt 2 Premium and Claims'!Q54</f>
        <v>48717819</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1694643</v>
      </c>
      <c r="AU12" s="107"/>
      <c r="AV12" s="312"/>
      <c r="AW12" s="317"/>
    </row>
    <row r="13" spans="1:49" ht="25.5" x14ac:dyDescent="0.2">
      <c r="B13" s="155" t="s">
        <v>230</v>
      </c>
      <c r="C13" s="62" t="s">
        <v>37</v>
      </c>
      <c r="D13" s="109">
        <v>2894209</v>
      </c>
      <c r="E13" s="110">
        <v>2894209</v>
      </c>
      <c r="F13" s="110"/>
      <c r="G13" s="289"/>
      <c r="H13" s="290"/>
      <c r="I13" s="109">
        <v>2402743</v>
      </c>
      <c r="J13" s="109">
        <v>26217991</v>
      </c>
      <c r="K13" s="110">
        <v>26217991</v>
      </c>
      <c r="L13" s="110"/>
      <c r="M13" s="289"/>
      <c r="N13" s="290"/>
      <c r="O13" s="109">
        <v>2539284</v>
      </c>
      <c r="P13" s="109">
        <v>7905668</v>
      </c>
      <c r="Q13" s="110">
        <v>7905668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1637073</v>
      </c>
      <c r="AU13" s="113"/>
      <c r="AV13" s="311"/>
      <c r="AW13" s="318"/>
    </row>
    <row r="14" spans="1:49" ht="25.5" x14ac:dyDescent="0.2">
      <c r="B14" s="155" t="s">
        <v>231</v>
      </c>
      <c r="C14" s="62" t="s">
        <v>6</v>
      </c>
      <c r="D14" s="109">
        <v>51973</v>
      </c>
      <c r="E14" s="110">
        <v>51973</v>
      </c>
      <c r="F14" s="110"/>
      <c r="G14" s="288"/>
      <c r="H14" s="291"/>
      <c r="I14" s="109">
        <v>23231</v>
      </c>
      <c r="J14" s="109">
        <v>669261</v>
      </c>
      <c r="K14" s="110">
        <v>669261</v>
      </c>
      <c r="L14" s="110"/>
      <c r="M14" s="288"/>
      <c r="N14" s="291"/>
      <c r="O14" s="109">
        <v>18060</v>
      </c>
      <c r="P14" s="109">
        <v>256565</v>
      </c>
      <c r="Q14" s="110">
        <v>256565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38403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-3500440</v>
      </c>
      <c r="E16" s="289"/>
      <c r="F16" s="290"/>
      <c r="G16" s="291"/>
      <c r="H16" s="291"/>
      <c r="I16" s="293"/>
      <c r="J16" s="109">
        <v>-1301831</v>
      </c>
      <c r="K16" s="289"/>
      <c r="L16" s="290"/>
      <c r="M16" s="291"/>
      <c r="N16" s="291"/>
      <c r="O16" s="293"/>
      <c r="P16" s="109">
        <v>-604308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13337</v>
      </c>
      <c r="E26" s="110">
        <v>13337</v>
      </c>
      <c r="F26" s="110"/>
      <c r="G26" s="110"/>
      <c r="H26" s="110"/>
      <c r="I26" s="109">
        <v>6449</v>
      </c>
      <c r="J26" s="109">
        <v>77387</v>
      </c>
      <c r="K26" s="110">
        <v>77387</v>
      </c>
      <c r="L26" s="110"/>
      <c r="M26" s="110"/>
      <c r="N26" s="110"/>
      <c r="O26" s="109">
        <v>2422</v>
      </c>
      <c r="P26" s="109">
        <v>30467</v>
      </c>
      <c r="Q26" s="110">
        <v>30467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266495</v>
      </c>
      <c r="E27" s="110">
        <v>266495</v>
      </c>
      <c r="F27" s="110"/>
      <c r="G27" s="110"/>
      <c r="H27" s="110"/>
      <c r="I27" s="109">
        <v>219072</v>
      </c>
      <c r="J27" s="109">
        <v>1782961</v>
      </c>
      <c r="K27" s="110">
        <v>1782961</v>
      </c>
      <c r="L27" s="110"/>
      <c r="M27" s="110"/>
      <c r="N27" s="110"/>
      <c r="O27" s="109">
        <v>123250</v>
      </c>
      <c r="P27" s="109">
        <v>663902</v>
      </c>
      <c r="Q27" s="110">
        <v>663902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18123</v>
      </c>
      <c r="AU27" s="113"/>
      <c r="AV27" s="314"/>
      <c r="AW27" s="318"/>
    </row>
    <row r="28" spans="1:49" s="5" customFormat="1" x14ac:dyDescent="0.2">
      <c r="A28" s="35"/>
      <c r="B28" s="158" t="s">
        <v>245</v>
      </c>
      <c r="C28" s="62"/>
      <c r="D28" s="109">
        <v>536558</v>
      </c>
      <c r="E28" s="110">
        <v>536558</v>
      </c>
      <c r="F28" s="110"/>
      <c r="G28" s="110"/>
      <c r="H28" s="110"/>
      <c r="I28" s="109">
        <v>536558</v>
      </c>
      <c r="J28" s="109">
        <v>2261037</v>
      </c>
      <c r="K28" s="110">
        <v>2261037</v>
      </c>
      <c r="L28" s="110"/>
      <c r="M28" s="110"/>
      <c r="N28" s="110"/>
      <c r="O28" s="109">
        <v>159858</v>
      </c>
      <c r="P28" s="109">
        <v>831033</v>
      </c>
      <c r="Q28" s="110">
        <v>831033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137624</v>
      </c>
      <c r="E31" s="110">
        <v>137624</v>
      </c>
      <c r="F31" s="110"/>
      <c r="G31" s="110"/>
      <c r="H31" s="110"/>
      <c r="I31" s="109">
        <v>113133</v>
      </c>
      <c r="J31" s="109">
        <v>920762</v>
      </c>
      <c r="K31" s="110">
        <v>920762</v>
      </c>
      <c r="L31" s="110"/>
      <c r="M31" s="110"/>
      <c r="N31" s="110"/>
      <c r="O31" s="109">
        <v>63649</v>
      </c>
      <c r="P31" s="109">
        <v>342854</v>
      </c>
      <c r="Q31" s="110">
        <v>342854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9361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4445</v>
      </c>
      <c r="E35" s="110">
        <v>4445</v>
      </c>
      <c r="F35" s="110"/>
      <c r="G35" s="110"/>
      <c r="H35" s="110"/>
      <c r="I35" s="109">
        <v>3654</v>
      </c>
      <c r="J35" s="109">
        <v>22440</v>
      </c>
      <c r="K35" s="110">
        <v>22440</v>
      </c>
      <c r="L35" s="110"/>
      <c r="M35" s="110"/>
      <c r="N35" s="110"/>
      <c r="O35" s="109">
        <v>2056</v>
      </c>
      <c r="P35" s="109">
        <v>8305</v>
      </c>
      <c r="Q35" s="110">
        <v>8305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71751</v>
      </c>
      <c r="E37" s="118">
        <v>71751</v>
      </c>
      <c r="F37" s="118"/>
      <c r="G37" s="118"/>
      <c r="H37" s="118"/>
      <c r="I37" s="117">
        <v>62976</v>
      </c>
      <c r="J37" s="117">
        <v>446626</v>
      </c>
      <c r="K37" s="118">
        <v>446626</v>
      </c>
      <c r="L37" s="118"/>
      <c r="M37" s="118"/>
      <c r="N37" s="118"/>
      <c r="O37" s="117">
        <v>33532</v>
      </c>
      <c r="P37" s="117">
        <v>149343</v>
      </c>
      <c r="Q37" s="118">
        <v>149343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5247</v>
      </c>
      <c r="AU37" s="119"/>
      <c r="AV37" s="119"/>
      <c r="AW37" s="317"/>
    </row>
    <row r="38" spans="1:49" x14ac:dyDescent="0.2">
      <c r="B38" s="155" t="s">
        <v>255</v>
      </c>
      <c r="C38" s="62" t="s">
        <v>16</v>
      </c>
      <c r="D38" s="109">
        <v>23539</v>
      </c>
      <c r="E38" s="110">
        <v>23539</v>
      </c>
      <c r="F38" s="110"/>
      <c r="G38" s="110"/>
      <c r="H38" s="110"/>
      <c r="I38" s="109">
        <v>20315</v>
      </c>
      <c r="J38" s="109">
        <v>146527</v>
      </c>
      <c r="K38" s="110">
        <v>146527</v>
      </c>
      <c r="L38" s="110"/>
      <c r="M38" s="110"/>
      <c r="N38" s="110"/>
      <c r="O38" s="109">
        <v>10817</v>
      </c>
      <c r="P38" s="109">
        <v>48996</v>
      </c>
      <c r="Q38" s="110">
        <v>48996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1721</v>
      </c>
      <c r="AU38" s="113"/>
      <c r="AV38" s="113"/>
      <c r="AW38" s="318"/>
    </row>
    <row r="39" spans="1:49" x14ac:dyDescent="0.2">
      <c r="B39" s="158" t="s">
        <v>256</v>
      </c>
      <c r="C39" s="62" t="s">
        <v>17</v>
      </c>
      <c r="D39" s="109">
        <v>32102</v>
      </c>
      <c r="E39" s="110">
        <v>32102</v>
      </c>
      <c r="F39" s="110"/>
      <c r="G39" s="110"/>
      <c r="H39" s="110"/>
      <c r="I39" s="109">
        <v>28441</v>
      </c>
      <c r="J39" s="109">
        <v>199833</v>
      </c>
      <c r="K39" s="110">
        <v>199833</v>
      </c>
      <c r="L39" s="110"/>
      <c r="M39" s="110"/>
      <c r="N39" s="110"/>
      <c r="O39" s="109">
        <v>15143</v>
      </c>
      <c r="P39" s="109">
        <v>66820</v>
      </c>
      <c r="Q39" s="110">
        <v>66820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2348</v>
      </c>
      <c r="AU39" s="113"/>
      <c r="AV39" s="113"/>
      <c r="AW39" s="318"/>
    </row>
    <row r="40" spans="1:49" x14ac:dyDescent="0.2">
      <c r="B40" s="158" t="s">
        <v>257</v>
      </c>
      <c r="C40" s="62" t="s">
        <v>38</v>
      </c>
      <c r="D40" s="109">
        <v>13698</v>
      </c>
      <c r="E40" s="110">
        <v>13698</v>
      </c>
      <c r="F40" s="110"/>
      <c r="G40" s="110"/>
      <c r="H40" s="110"/>
      <c r="I40" s="109">
        <v>12189</v>
      </c>
      <c r="J40" s="109">
        <v>85261</v>
      </c>
      <c r="K40" s="110">
        <v>85261</v>
      </c>
      <c r="L40" s="110"/>
      <c r="M40" s="110"/>
      <c r="N40" s="110"/>
      <c r="O40" s="109">
        <v>6490</v>
      </c>
      <c r="P40" s="109">
        <v>28510</v>
      </c>
      <c r="Q40" s="110">
        <v>28510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1002</v>
      </c>
      <c r="AU40" s="113"/>
      <c r="AV40" s="113"/>
      <c r="AW40" s="318"/>
    </row>
    <row r="41" spans="1:49" s="5" customFormat="1" ht="25.5" x14ac:dyDescent="0.2">
      <c r="A41" s="35"/>
      <c r="B41" s="158" t="s">
        <v>258</v>
      </c>
      <c r="C41" s="62" t="s">
        <v>129</v>
      </c>
      <c r="D41" s="109">
        <v>89596</v>
      </c>
      <c r="E41" s="110">
        <v>89596</v>
      </c>
      <c r="F41" s="110"/>
      <c r="G41" s="110"/>
      <c r="H41" s="110"/>
      <c r="I41" s="109">
        <v>79227</v>
      </c>
      <c r="J41" s="109">
        <v>557709</v>
      </c>
      <c r="K41" s="110">
        <v>557709</v>
      </c>
      <c r="L41" s="110"/>
      <c r="M41" s="110"/>
      <c r="N41" s="110"/>
      <c r="O41" s="109">
        <v>42185</v>
      </c>
      <c r="P41" s="109">
        <v>186487</v>
      </c>
      <c r="Q41" s="110">
        <v>186487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6552</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50274</v>
      </c>
      <c r="E44" s="118">
        <v>50274</v>
      </c>
      <c r="F44" s="118"/>
      <c r="G44" s="118"/>
      <c r="H44" s="118"/>
      <c r="I44" s="117">
        <v>44241</v>
      </c>
      <c r="J44" s="117">
        <v>312945</v>
      </c>
      <c r="K44" s="118">
        <v>312945</v>
      </c>
      <c r="L44" s="118"/>
      <c r="M44" s="118"/>
      <c r="N44" s="118"/>
      <c r="O44" s="117">
        <v>25036</v>
      </c>
      <c r="P44" s="117">
        <v>104643</v>
      </c>
      <c r="Q44" s="118">
        <v>104643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3677</v>
      </c>
      <c r="AU44" s="119"/>
      <c r="AV44" s="119"/>
      <c r="AW44" s="317"/>
    </row>
    <row r="45" spans="1:49" x14ac:dyDescent="0.2">
      <c r="B45" s="161" t="s">
        <v>262</v>
      </c>
      <c r="C45" s="62" t="s">
        <v>19</v>
      </c>
      <c r="D45" s="109">
        <v>293357</v>
      </c>
      <c r="E45" s="110">
        <v>293357</v>
      </c>
      <c r="F45" s="110"/>
      <c r="G45" s="110"/>
      <c r="H45" s="110"/>
      <c r="I45" s="109">
        <v>258154</v>
      </c>
      <c r="J45" s="109">
        <v>1826070</v>
      </c>
      <c r="K45" s="110">
        <v>1826070</v>
      </c>
      <c r="L45" s="110"/>
      <c r="M45" s="110"/>
      <c r="N45" s="110"/>
      <c r="O45" s="109">
        <v>146086</v>
      </c>
      <c r="P45" s="109">
        <v>610602</v>
      </c>
      <c r="Q45" s="110">
        <v>610602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21453</v>
      </c>
      <c r="AU45" s="113"/>
      <c r="AV45" s="113"/>
      <c r="AW45" s="318"/>
    </row>
    <row r="46" spans="1:49" x14ac:dyDescent="0.2">
      <c r="B46" s="161" t="s">
        <v>263</v>
      </c>
      <c r="C46" s="62" t="s">
        <v>20</v>
      </c>
      <c r="D46" s="109">
        <v>429181</v>
      </c>
      <c r="E46" s="110">
        <v>429181</v>
      </c>
      <c r="F46" s="110"/>
      <c r="G46" s="110"/>
      <c r="H46" s="110"/>
      <c r="I46" s="109">
        <v>377679</v>
      </c>
      <c r="J46" s="109">
        <v>1093435</v>
      </c>
      <c r="K46" s="110">
        <v>1093435</v>
      </c>
      <c r="L46" s="110"/>
      <c r="M46" s="110"/>
      <c r="N46" s="110"/>
      <c r="O46" s="109">
        <v>87475</v>
      </c>
      <c r="P46" s="109">
        <v>364478</v>
      </c>
      <c r="Q46" s="110">
        <v>364478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32304</v>
      </c>
      <c r="AU46" s="113"/>
      <c r="AV46" s="113"/>
      <c r="AW46" s="318"/>
    </row>
    <row r="47" spans="1:49" x14ac:dyDescent="0.2">
      <c r="B47" s="161" t="s">
        <v>264</v>
      </c>
      <c r="C47" s="62" t="s">
        <v>21</v>
      </c>
      <c r="D47" s="109">
        <v>168472</v>
      </c>
      <c r="E47" s="110">
        <v>168472</v>
      </c>
      <c r="F47" s="110"/>
      <c r="G47" s="110"/>
      <c r="H47" s="110"/>
      <c r="I47" s="109">
        <v>148255</v>
      </c>
      <c r="J47" s="109">
        <v>6427360</v>
      </c>
      <c r="K47" s="110">
        <v>6427360</v>
      </c>
      <c r="L47" s="110"/>
      <c r="M47" s="110"/>
      <c r="N47" s="110"/>
      <c r="O47" s="109">
        <v>514189</v>
      </c>
      <c r="P47" s="109">
        <v>2142453</v>
      </c>
      <c r="Q47" s="110">
        <v>2142453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12681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52270</v>
      </c>
      <c r="E49" s="110">
        <v>52270</v>
      </c>
      <c r="F49" s="110"/>
      <c r="G49" s="110"/>
      <c r="H49" s="110"/>
      <c r="I49" s="109">
        <v>45998</v>
      </c>
      <c r="J49" s="109">
        <v>276259</v>
      </c>
      <c r="K49" s="110">
        <v>276259</v>
      </c>
      <c r="L49" s="110"/>
      <c r="M49" s="110"/>
      <c r="N49" s="110"/>
      <c r="O49" s="109">
        <v>22101</v>
      </c>
      <c r="P49" s="109">
        <v>102362</v>
      </c>
      <c r="Q49" s="110">
        <v>102362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1507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1999857</v>
      </c>
      <c r="E51" s="110">
        <v>1999857</v>
      </c>
      <c r="F51" s="110"/>
      <c r="G51" s="110"/>
      <c r="H51" s="110"/>
      <c r="I51" s="109">
        <v>1759874</v>
      </c>
      <c r="J51" s="109">
        <v>8653255</v>
      </c>
      <c r="K51" s="110">
        <v>8653255</v>
      </c>
      <c r="L51" s="110"/>
      <c r="M51" s="110"/>
      <c r="N51" s="110"/>
      <c r="O51" s="109">
        <v>692260</v>
      </c>
      <c r="P51" s="109">
        <v>2900548</v>
      </c>
      <c r="Q51" s="110">
        <v>2900548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145195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5112</v>
      </c>
      <c r="E56" s="122">
        <v>5112</v>
      </c>
      <c r="F56" s="122"/>
      <c r="G56" s="122"/>
      <c r="H56" s="122"/>
      <c r="I56" s="121">
        <v>5112</v>
      </c>
      <c r="J56" s="121">
        <v>18252</v>
      </c>
      <c r="K56" s="122">
        <v>18252</v>
      </c>
      <c r="L56" s="122"/>
      <c r="M56" s="122"/>
      <c r="N56" s="122"/>
      <c r="O56" s="121">
        <v>3181</v>
      </c>
      <c r="P56" s="121">
        <v>6115</v>
      </c>
      <c r="Q56" s="122">
        <v>6115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1986</v>
      </c>
      <c r="AU56" s="123"/>
      <c r="AV56" s="123"/>
      <c r="AW56" s="309"/>
    </row>
    <row r="57" spans="2:49" x14ac:dyDescent="0.2">
      <c r="B57" s="161" t="s">
        <v>273</v>
      </c>
      <c r="C57" s="62" t="s">
        <v>25</v>
      </c>
      <c r="D57" s="124">
        <v>5112</v>
      </c>
      <c r="E57" s="125">
        <v>5112</v>
      </c>
      <c r="F57" s="125"/>
      <c r="G57" s="125"/>
      <c r="H57" s="125"/>
      <c r="I57" s="124">
        <v>5112</v>
      </c>
      <c r="J57" s="124">
        <v>34276</v>
      </c>
      <c r="K57" s="125">
        <v>34276</v>
      </c>
      <c r="L57" s="125"/>
      <c r="M57" s="125"/>
      <c r="N57" s="125"/>
      <c r="O57" s="124">
        <v>4241</v>
      </c>
      <c r="P57" s="124">
        <v>10461</v>
      </c>
      <c r="Q57" s="125">
        <v>10461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1986</v>
      </c>
      <c r="AU57" s="126"/>
      <c r="AV57" s="126"/>
      <c r="AW57" s="310"/>
    </row>
    <row r="58" spans="2:49" x14ac:dyDescent="0.2">
      <c r="B58" s="161" t="s">
        <v>274</v>
      </c>
      <c r="C58" s="62" t="s">
        <v>26</v>
      </c>
      <c r="D58" s="330"/>
      <c r="E58" s="331"/>
      <c r="F58" s="331"/>
      <c r="G58" s="331"/>
      <c r="H58" s="331"/>
      <c r="I58" s="330"/>
      <c r="J58" s="124">
        <v>2020</v>
      </c>
      <c r="K58" s="125">
        <v>2020</v>
      </c>
      <c r="L58" s="125"/>
      <c r="M58" s="125"/>
      <c r="N58" s="125"/>
      <c r="O58" s="124">
        <v>107</v>
      </c>
      <c r="P58" s="124">
        <v>75</v>
      </c>
      <c r="Q58" s="125">
        <v>75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71873</v>
      </c>
      <c r="E59" s="125">
        <v>71873</v>
      </c>
      <c r="F59" s="125"/>
      <c r="G59" s="125"/>
      <c r="H59" s="125"/>
      <c r="I59" s="124">
        <v>46145</v>
      </c>
      <c r="J59" s="124">
        <v>419640</v>
      </c>
      <c r="K59" s="125">
        <v>419640</v>
      </c>
      <c r="L59" s="125"/>
      <c r="M59" s="125"/>
      <c r="N59" s="125"/>
      <c r="O59" s="124">
        <v>22632</v>
      </c>
      <c r="P59" s="124">
        <v>153107</v>
      </c>
      <c r="Q59" s="125">
        <v>153107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24257</v>
      </c>
      <c r="AU59" s="126"/>
      <c r="AV59" s="126"/>
      <c r="AW59" s="310"/>
    </row>
    <row r="60" spans="2:49" x14ac:dyDescent="0.2">
      <c r="B60" s="161" t="s">
        <v>276</v>
      </c>
      <c r="C60" s="62"/>
      <c r="D60" s="127">
        <f>D59/12</f>
        <v>5989.416666666667</v>
      </c>
      <c r="E60" s="128">
        <f>E59/12</f>
        <v>5989.416666666667</v>
      </c>
      <c r="F60" s="128"/>
      <c r="G60" s="128"/>
      <c r="H60" s="128"/>
      <c r="I60" s="127">
        <f>I59/12</f>
        <v>3845.4166666666665</v>
      </c>
      <c r="J60" s="127">
        <f>J59/12</f>
        <v>34970</v>
      </c>
      <c r="K60" s="128">
        <f>K59/12</f>
        <v>34970</v>
      </c>
      <c r="L60" s="128"/>
      <c r="M60" s="128"/>
      <c r="N60" s="128"/>
      <c r="O60" s="127">
        <f>O59/12</f>
        <v>1886</v>
      </c>
      <c r="P60" s="127">
        <f>P59/12</f>
        <v>12758.916666666666</v>
      </c>
      <c r="Q60" s="128">
        <f>Q59/12</f>
        <v>12758.916666666666</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2021.4166666666667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23175839</v>
      </c>
      <c r="E5" s="118">
        <v>21846417</v>
      </c>
      <c r="F5" s="118"/>
      <c r="G5" s="130"/>
      <c r="H5" s="130"/>
      <c r="I5" s="117">
        <v>17360616</v>
      </c>
      <c r="J5" s="117">
        <v>155055763</v>
      </c>
      <c r="K5" s="118">
        <v>155055763</v>
      </c>
      <c r="L5" s="118"/>
      <c r="M5" s="118"/>
      <c r="N5" s="118"/>
      <c r="O5" s="117">
        <v>10769300</v>
      </c>
      <c r="P5" s="117">
        <v>57736425</v>
      </c>
      <c r="Q5" s="118">
        <v>57736425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1576166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4527308</v>
      </c>
      <c r="E15" s="110">
        <v>4527308</v>
      </c>
      <c r="F15" s="110"/>
      <c r="G15" s="110"/>
      <c r="H15" s="110"/>
      <c r="I15" s="109">
        <v>4527308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-360679</v>
      </c>
      <c r="E16" s="110">
        <v>-360679</v>
      </c>
      <c r="F16" s="110"/>
      <c r="G16" s="110"/>
      <c r="H16" s="110"/>
      <c r="I16" s="109">
        <v>-360679</v>
      </c>
      <c r="J16" s="109">
        <v>1182290</v>
      </c>
      <c r="K16" s="110">
        <v>1182290</v>
      </c>
      <c r="L16" s="110"/>
      <c r="M16" s="110"/>
      <c r="N16" s="110"/>
      <c r="O16" s="109">
        <v>1182290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502767</v>
      </c>
      <c r="E17" s="269">
        <v>502767</v>
      </c>
      <c r="F17" s="269"/>
      <c r="G17" s="269"/>
      <c r="H17" s="110"/>
      <c r="I17" s="293"/>
      <c r="J17" s="109">
        <v>659808</v>
      </c>
      <c r="K17" s="269">
        <v>659808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686503</v>
      </c>
      <c r="E18" s="110">
        <v>686503</v>
      </c>
      <c r="F18" s="110"/>
      <c r="G18" s="110"/>
      <c r="H18" s="110"/>
      <c r="I18" s="109">
        <v>440645</v>
      </c>
      <c r="J18" s="109">
        <v>1646007</v>
      </c>
      <c r="K18" s="110">
        <v>1646007</v>
      </c>
      <c r="L18" s="110"/>
      <c r="M18" s="110"/>
      <c r="N18" s="110"/>
      <c r="O18" s="109">
        <v>88737</v>
      </c>
      <c r="P18" s="109">
        <v>606118</v>
      </c>
      <c r="Q18" s="110">
        <v>606118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21641731</v>
      </c>
      <c r="E23" s="288"/>
      <c r="F23" s="288"/>
      <c r="G23" s="288"/>
      <c r="H23" s="288"/>
      <c r="I23" s="292"/>
      <c r="J23" s="109">
        <v>141428098</v>
      </c>
      <c r="K23" s="288"/>
      <c r="L23" s="288"/>
      <c r="M23" s="288"/>
      <c r="N23" s="288"/>
      <c r="O23" s="292"/>
      <c r="P23" s="109">
        <v>49899674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1695094</v>
      </c>
      <c r="AU23" s="113"/>
      <c r="AV23" s="311"/>
      <c r="AW23" s="318"/>
    </row>
    <row r="24" spans="2:49" ht="28.5" customHeight="1" x14ac:dyDescent="0.2">
      <c r="B24" s="178" t="s">
        <v>114</v>
      </c>
      <c r="C24" s="133"/>
      <c r="D24" s="293"/>
      <c r="E24" s="110">
        <v>22738749</v>
      </c>
      <c r="F24" s="110"/>
      <c r="G24" s="110"/>
      <c r="H24" s="110"/>
      <c r="I24" s="109">
        <v>19534550</v>
      </c>
      <c r="J24" s="293"/>
      <c r="K24" s="110">
        <v>139660609</v>
      </c>
      <c r="L24" s="110"/>
      <c r="M24" s="110"/>
      <c r="N24" s="110"/>
      <c r="O24" s="109">
        <v>10484639</v>
      </c>
      <c r="P24" s="293"/>
      <c r="Q24" s="110">
        <v>47881462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3086140</v>
      </c>
      <c r="E26" s="288"/>
      <c r="F26" s="288"/>
      <c r="G26" s="288"/>
      <c r="H26" s="288"/>
      <c r="I26" s="292"/>
      <c r="J26" s="109">
        <v>17378847</v>
      </c>
      <c r="K26" s="288"/>
      <c r="L26" s="288"/>
      <c r="M26" s="288"/>
      <c r="N26" s="288"/>
      <c r="O26" s="292"/>
      <c r="P26" s="109">
        <v>5117427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38083</v>
      </c>
      <c r="AU26" s="113"/>
      <c r="AV26" s="311"/>
      <c r="AW26" s="318"/>
    </row>
    <row r="27" spans="2:49" s="5" customFormat="1" ht="25.5" x14ac:dyDescent="0.2">
      <c r="B27" s="178" t="s">
        <v>85</v>
      </c>
      <c r="C27" s="133"/>
      <c r="D27" s="293"/>
      <c r="E27" s="110">
        <v>215000</v>
      </c>
      <c r="F27" s="110"/>
      <c r="G27" s="110"/>
      <c r="H27" s="110"/>
      <c r="I27" s="109">
        <v>215000</v>
      </c>
      <c r="J27" s="293"/>
      <c r="K27" s="110">
        <v>2118000</v>
      </c>
      <c r="L27" s="110"/>
      <c r="M27" s="110"/>
      <c r="N27" s="110"/>
      <c r="O27" s="109">
        <v>155000</v>
      </c>
      <c r="P27" s="293"/>
      <c r="Q27" s="110">
        <v>777000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1576951</v>
      </c>
      <c r="E28" s="289"/>
      <c r="F28" s="289"/>
      <c r="G28" s="289"/>
      <c r="H28" s="289"/>
      <c r="I28" s="293"/>
      <c r="J28" s="109">
        <v>14698655</v>
      </c>
      <c r="K28" s="289"/>
      <c r="L28" s="289"/>
      <c r="M28" s="289"/>
      <c r="N28" s="289"/>
      <c r="O28" s="293"/>
      <c r="P28" s="109">
        <v>6829998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38534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4633</v>
      </c>
      <c r="E45" s="110"/>
      <c r="F45" s="110"/>
      <c r="G45" s="110"/>
      <c r="H45" s="110"/>
      <c r="I45" s="109"/>
      <c r="J45" s="109">
        <v>95696</v>
      </c>
      <c r="K45" s="110"/>
      <c r="L45" s="110"/>
      <c r="M45" s="110"/>
      <c r="N45" s="110"/>
      <c r="O45" s="109"/>
      <c r="P45" s="109">
        <v>54714</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32572</v>
      </c>
      <c r="E46" s="110">
        <v>32572</v>
      </c>
      <c r="F46" s="110"/>
      <c r="G46" s="110"/>
      <c r="H46" s="110"/>
      <c r="I46" s="109"/>
      <c r="J46" s="109">
        <v>178072</v>
      </c>
      <c r="K46" s="110">
        <v>178072</v>
      </c>
      <c r="L46" s="110"/>
      <c r="M46" s="110"/>
      <c r="N46" s="110"/>
      <c r="O46" s="109"/>
      <c r="P46" s="109">
        <v>59357</v>
      </c>
      <c r="Q46" s="110">
        <v>59357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14742</v>
      </c>
      <c r="E47" s="289"/>
      <c r="F47" s="289"/>
      <c r="G47" s="289"/>
      <c r="H47" s="289"/>
      <c r="I47" s="293"/>
      <c r="J47" s="109">
        <v>133832</v>
      </c>
      <c r="K47" s="289"/>
      <c r="L47" s="289"/>
      <c r="M47" s="289"/>
      <c r="N47" s="289"/>
      <c r="O47" s="293"/>
      <c r="P47" s="109">
        <v>67426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23173383</v>
      </c>
      <c r="E54" s="115">
        <f>+E24+E27+E31+E35-E36+E39+E42+E45+E46-E49+E51+E52+E53</f>
        <v>22986321</v>
      </c>
      <c r="F54" s="115"/>
      <c r="G54" s="115"/>
      <c r="H54" s="115"/>
      <c r="I54" s="114">
        <f>+I24+I27+I31+I35-I36+I39+I42+I45+I46-I49+I51+I52+I53</f>
        <v>19749550</v>
      </c>
      <c r="J54" s="114">
        <f>+J23+J26-J28+J30-J32+J34-J36+J38+J41-J43+J45+J46-J47-J49+J50+J51+J52+J53</f>
        <v>144248226</v>
      </c>
      <c r="K54" s="115">
        <f>+K24+K27+K31+K35-K36+K39+K42+K45+K46-K49+K51+K52+K53</f>
        <v>141956681</v>
      </c>
      <c r="L54" s="115"/>
      <c r="M54" s="115"/>
      <c r="N54" s="115"/>
      <c r="O54" s="114">
        <f>+O24+O27+O31+O35-O36+O39+O42+O45+O46-O49+O51+O52+O53</f>
        <v>10639639</v>
      </c>
      <c r="P54" s="114">
        <f>+P23+P26-P28+P30-P32+P34-P36+P38+P41-P43+P45+P46-P47-P49+P50+P51+P52+P53</f>
        <v>48233748</v>
      </c>
      <c r="Q54" s="115">
        <f>+Q24+Q27+Q31+Q35-Q36+Q39+Q42+Q45+Q46-Q49+Q51+Q52+Q53</f>
        <v>48717819</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+AT23+AT26-AT28+AT30-AT32+AT34-AT36+AT38+AT41-AT43+AT45+AT46-AT47-AT49+AT50+AT51+AT52+AT53</f>
        <v>1694643</v>
      </c>
      <c r="AU54" s="116"/>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f>MIN(AT56,AT57)</f>
        <v>0</v>
      </c>
      <c r="AU55" s="116"/>
      <c r="AV55" s="311"/>
      <c r="AW55" s="318"/>
    </row>
    <row r="56" spans="2:49" ht="11.85" customHeight="1" x14ac:dyDescent="0.2">
      <c r="B56" s="176" t="s">
        <v>120</v>
      </c>
      <c r="C56" s="137" t="s">
        <v>452</v>
      </c>
      <c r="D56" s="109">
        <v>10940</v>
      </c>
      <c r="E56" s="110">
        <v>10940</v>
      </c>
      <c r="F56" s="110"/>
      <c r="G56" s="110"/>
      <c r="H56" s="110"/>
      <c r="I56" s="109">
        <v>0</v>
      </c>
      <c r="J56" s="109">
        <v>68096</v>
      </c>
      <c r="K56" s="110">
        <v>68096</v>
      </c>
      <c r="L56" s="110"/>
      <c r="M56" s="110"/>
      <c r="N56" s="110"/>
      <c r="O56" s="109">
        <v>0</v>
      </c>
      <c r="P56" s="109">
        <v>22770</v>
      </c>
      <c r="Q56" s="110">
        <v>22770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1329422</v>
      </c>
      <c r="E58" s="187">
        <v>1329422</v>
      </c>
      <c r="F58" s="187"/>
      <c r="G58" s="187"/>
      <c r="H58" s="187"/>
      <c r="I58" s="186">
        <v>1329422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11346375</v>
      </c>
      <c r="D5" s="118">
        <v>12130254</v>
      </c>
      <c r="E5" s="346"/>
      <c r="F5" s="346"/>
      <c r="G5" s="312"/>
      <c r="H5" s="117">
        <v>121454406</v>
      </c>
      <c r="I5" s="118">
        <v>134105508</v>
      </c>
      <c r="J5" s="346"/>
      <c r="K5" s="346"/>
      <c r="L5" s="312"/>
      <c r="M5" s="117">
        <v>47607052</v>
      </c>
      <c r="N5" s="118">
        <v>62010334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11342863</v>
      </c>
      <c r="D6" s="110">
        <v>12065792</v>
      </c>
      <c r="E6" s="115">
        <f>'Pt 1 Summary of Data'!E12</f>
        <v>22986321</v>
      </c>
      <c r="F6" s="115">
        <f>+C6+D6+E6</f>
        <v>46394976</v>
      </c>
      <c r="G6" s="116">
        <f>'Pt 1 Summary of Data'!I12</f>
        <v>19749550</v>
      </c>
      <c r="H6" s="109">
        <v>122159677</v>
      </c>
      <c r="I6" s="110">
        <v>134261625</v>
      </c>
      <c r="J6" s="115">
        <f>+'Pt 1 Summary of Data'!K12+'Pt 1 Summary of Data'!K22</f>
        <v>141956681</v>
      </c>
      <c r="K6" s="115">
        <f>+H6+I6+J6</f>
        <v>398377983</v>
      </c>
      <c r="L6" s="116">
        <f>'Pt 1 Summary of Data'!O12+'Pt 1 Summary of Data'!O22</f>
        <v>10639639</v>
      </c>
      <c r="M6" s="109">
        <v>47963701</v>
      </c>
      <c r="N6" s="110">
        <v>62580386</v>
      </c>
      <c r="O6" s="115">
        <f>'Pt 1 Summary of Data'!Q12+'Pt 1 Summary of Data'!Q22</f>
        <v>48717819</v>
      </c>
      <c r="P6" s="115">
        <f>+M6+N6+O6</f>
        <v>159261906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223201</v>
      </c>
      <c r="D7" s="110">
        <v>136135</v>
      </c>
      <c r="E7" s="115">
        <f>+'Pt 1 Summary of Data'!E37+'Pt 1 Summary of Data'!E38+'Pt 1 Summary of Data'!E39+'Pt 1 Summary of Data'!E40+'Pt 1 Summary of Data'!E41</f>
        <v>230686</v>
      </c>
      <c r="F7" s="115">
        <f>+C7+D7+E7</f>
        <v>590022</v>
      </c>
      <c r="G7" s="382">
        <f>SUM('Pt 1 Summary of Data'!I$37:I$41)+MAX(0,MIN(VALUE('Pt 1 Summary of Data'!I$42),0.3%*('Pt 1 Summary of Data'!I$5-SUM(G$9:G$10))))</f>
        <v>203148</v>
      </c>
      <c r="H7" s="109">
        <v>1994149</v>
      </c>
      <c r="I7" s="110">
        <v>1490653</v>
      </c>
      <c r="J7" s="115">
        <f>+'Pt 1 Summary of Data'!J37+'Pt 1 Summary of Data'!J38+'Pt 1 Summary of Data'!J39+'Pt 1 Summary of Data'!J40+'Pt 1 Summary of Data'!J41</f>
        <v>1435956</v>
      </c>
      <c r="K7" s="115">
        <f>+H7+I7+J7</f>
        <v>4920758</v>
      </c>
      <c r="L7" s="116">
        <f>+'Pt 1 Summary of Data'!O37+'Pt 1 Summary of Data'!O38+'Pt 1 Summary of Data'!O39+'Pt 1 Summary of Data'!O40+'Pt 1 Summary of Data'!O41</f>
        <v>108167</v>
      </c>
      <c r="M7" s="109">
        <v>794419</v>
      </c>
      <c r="N7" s="110">
        <v>678407</v>
      </c>
      <c r="O7" s="115">
        <f>'Pt 1 Summary of Data'!P37+'Pt 1 Summary of Data'!P38+'Pt 1 Summary of Data'!P39+'Pt 1 Summary of Data'!P40+'Pt 1 Summary of Data'!P41</f>
        <v>480156</v>
      </c>
      <c r="P7" s="115">
        <f>+M7+N7+O7</f>
        <v>1952982</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1329422</v>
      </c>
      <c r="F8" s="269">
        <v>1329422</v>
      </c>
      <c r="G8" s="270">
        <v>1329422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f>
        <v>4527308</v>
      </c>
      <c r="F9" s="115">
        <f>+E9</f>
        <v>4527308</v>
      </c>
      <c r="G9" s="116">
        <f>+'Pt 2 Premium and Claims'!I15</f>
        <v>4527308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f>
        <v>-360679</v>
      </c>
      <c r="F10" s="115">
        <f>+E10</f>
        <v>-360679</v>
      </c>
      <c r="G10" s="116">
        <f>+'Pt 2 Premium and Claims'!I16</f>
        <v>-360679</v>
      </c>
      <c r="H10" s="292"/>
      <c r="I10" s="288"/>
      <c r="J10" s="115">
        <f>'Pt 2 Premium and Claims'!J16</f>
        <v>1182290</v>
      </c>
      <c r="K10" s="115">
        <f>+J10</f>
        <v>1182290</v>
      </c>
      <c r="L10" s="116">
        <f>+'Pt 2 Premium and Claims'!O16</f>
        <v>1182290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f>
        <v>502767</v>
      </c>
      <c r="F11" s="115">
        <f>+E11</f>
        <v>502767</v>
      </c>
      <c r="G11" s="314"/>
      <c r="H11" s="292"/>
      <c r="I11" s="288"/>
      <c r="J11" s="115">
        <f>'Pt 2 Premium and Claims'!J17</f>
        <v>659808</v>
      </c>
      <c r="K11" s="115">
        <f>+J11</f>
        <v>659808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11566064</v>
      </c>
      <c r="D12" s="115">
        <f>+D6+D7</f>
        <v>12201927</v>
      </c>
      <c r="E12" s="115">
        <f>+E6+E7-E8-E9-E10-E11</f>
        <v>17218189</v>
      </c>
      <c r="F12" s="115">
        <f>+F6+F7-F8-F9-F10-F11</f>
        <v>40986180</v>
      </c>
      <c r="G12" s="311"/>
      <c r="H12" s="114">
        <f>+H6+H7</f>
        <v>124153826</v>
      </c>
      <c r="I12" s="115">
        <f>+I6+I7</f>
        <v>135752278</v>
      </c>
      <c r="J12" s="115">
        <f>+J6+J7-J8-J9-J10-J11</f>
        <v>141550539</v>
      </c>
      <c r="K12" s="115">
        <f>+K6+K7-K9-K10-K11</f>
        <v>401456643</v>
      </c>
      <c r="L12" s="311"/>
      <c r="M12" s="114">
        <f>+M6+M7</f>
        <v>48758120</v>
      </c>
      <c r="N12" s="115">
        <f>+N6+N7</f>
        <v>63258793</v>
      </c>
      <c r="O12" s="115">
        <f>+O6+O7</f>
        <v>49197975</v>
      </c>
      <c r="P12" s="115">
        <f>+M12+N12+O12</f>
        <v>161214888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10203803</v>
      </c>
      <c r="D15" s="118">
        <v>10864362</v>
      </c>
      <c r="E15" s="106">
        <f>+'Pt 1 Summary of Data'!E5+'Pt 1 Summary of Data'!E6+'Pt 1 Summary of Data'!E7-'Pt 3 MLR and Rebate Calculation'!E9-'Pt 3 MLR and Rebate Calculation'!E10-'Pt 3 MLR and Rebate Calculation'!E11</f>
        <v>21846417</v>
      </c>
      <c r="F15" s="106">
        <f>+C15+D15+E15</f>
        <v>42914582</v>
      </c>
      <c r="G15" s="107">
        <f>+'Pt 1 Summary of Data'!I5-G9-G10</f>
        <v>17360616</v>
      </c>
      <c r="H15" s="117">
        <v>142189162</v>
      </c>
      <c r="I15" s="118">
        <v>155609054</v>
      </c>
      <c r="J15" s="106">
        <f>+'Pt 1 Summary of Data'!K5+'Pt 1 Summary of Data'!K6+'Pt 1 Summary of Data'!K7-'Pt 3 MLR and Rebate Calculation'!J9-'Pt 3 MLR and Rebate Calculation'!J10-'Pt 3 MLR and Rebate Calculation'!J11</f>
        <v>155055763</v>
      </c>
      <c r="K15" s="106">
        <f>+H15+I15+J15</f>
        <v>452853979</v>
      </c>
      <c r="L15" s="107">
        <f>+'Pt 1 Summary of Data'!O5+'Pt 1 Summary of Data'!O6+'Pt 1 Summary of Data'!O7-'Pt 3 MLR and Rebate Calculation'!L9-'Pt 3 MLR and Rebate Calculation'!L10</f>
        <v>10769300</v>
      </c>
      <c r="M15" s="117">
        <v>54528615</v>
      </c>
      <c r="N15" s="118">
        <v>55107106</v>
      </c>
      <c r="O15" s="106">
        <f>'Pt 1 Summary of Data'!Q5+'Pt 1 Summary of Data'!Q6+'Pt 1 Summary of Data'!Q7</f>
        <v>57736425</v>
      </c>
      <c r="P15" s="106">
        <f>+M15+N15+O15</f>
        <v>167372146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62644</v>
      </c>
      <c r="D16" s="110">
        <v>68573</v>
      </c>
      <c r="E16" s="115">
        <f>'Pt 1 Summary of Data'!E25+'Pt 1 Summary of Data'!E26+'Pt 1 Summary of Data'!E27+'Pt 1 Summary of Data'!E28+'Pt 1 Summary of Data'!E31+'Pt 1 Summary of Data'!E35</f>
        <v>958459</v>
      </c>
      <c r="F16" s="115">
        <f>+C16+D16+E16</f>
        <v>1089676</v>
      </c>
      <c r="G16" s="382">
        <f>SUM('Pt 1 Summary of Data'!I$25:I$28,'Pt 1 Summary of Data'!I$30,'Pt 1 Summary of Data'!I$34:I$35)+IF('Company Information'!$C$15="No",IF(MAX('Pt 1 Summary of Data'!I$31:I$32)=0,MIN('Pt 1 Summary of Data'!I$31:I$32),MAX('Pt 1 Summary of Data'!I$31:I$32)),SUM('Pt 1 Summary of Data'!I$31:I$32))</f>
        <v>878866</v>
      </c>
      <c r="H16" s="109">
        <v>874764</v>
      </c>
      <c r="I16" s="110">
        <v>968659</v>
      </c>
      <c r="J16" s="115">
        <f>+'Pt 1 Summary of Data'!K26+'Pt 1 Summary of Data'!K27+'Pt 1 Summary of Data'!K28+'Pt 1 Summary of Data'!K31+'Pt 1 Summary of Data'!K35</f>
        <v>5064587</v>
      </c>
      <c r="K16" s="115">
        <f>+H16+I16+J16</f>
        <v>6908010</v>
      </c>
      <c r="L16" s="382">
        <f>SUM('Pt 1 Summary of Data'!O$25:O$28,'Pt 1 Summary of Data'!O$30,'Pt 1 Summary of Data'!O$34:O$35)+IF('Company Information'!$C$15="No",IF(MAX('Pt 1 Summary of Data'!O$31:O$32)=0,MIN('Pt 1 Summary of Data'!O$31:O$32),MAX('Pt 1 Summary of Data'!O$31:O$32)),SUM('Pt 1 Summary of Data'!O$31:O$32))</f>
        <v>351235</v>
      </c>
      <c r="M16" s="109">
        <v>332941</v>
      </c>
      <c r="N16" s="110">
        <v>347469</v>
      </c>
      <c r="O16" s="115">
        <f>'Pt 1 Summary of Data'!Q26+'Pt 1 Summary of Data'!Q27+'Pt 1 Summary of Data'!Q28+'Pt 1 Summary of Data'!Q31+'Pt 1 Summary of Data'!Q35</f>
        <v>1876561</v>
      </c>
      <c r="P16" s="115">
        <f>+M16+N16+O16</f>
        <v>2556971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10141159</v>
      </c>
      <c r="D17" s="115">
        <f>+D15-D16</f>
        <v>10795789</v>
      </c>
      <c r="E17" s="115">
        <f>+E15-E16</f>
        <v>20887958</v>
      </c>
      <c r="F17" s="115">
        <f>+F15-F16</f>
        <v>41824906</v>
      </c>
      <c r="G17" s="314"/>
      <c r="H17" s="114">
        <f>+H15-H16</f>
        <v>141314398</v>
      </c>
      <c r="I17" s="115">
        <f>+I15-I16</f>
        <v>154640395</v>
      </c>
      <c r="J17" s="115">
        <f>+J15-J16</f>
        <v>149991176</v>
      </c>
      <c r="K17" s="115">
        <f>+K15-K16</f>
        <v>445945969</v>
      </c>
      <c r="L17" s="314"/>
      <c r="M17" s="114">
        <f>+M15-M16</f>
        <v>54195674</v>
      </c>
      <c r="N17" s="115">
        <f>+N15-N16</f>
        <v>54759637</v>
      </c>
      <c r="O17" s="115">
        <f>+O15-O16</f>
        <v>55859864</v>
      </c>
      <c r="P17" s="115">
        <f>+P15-P16</f>
        <v>164815175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14456647</v>
      </c>
      <c r="H19" s="347"/>
      <c r="I19" s="346"/>
      <c r="J19" s="346"/>
      <c r="K19" s="346"/>
      <c r="L19" s="107">
        <f>+L6+L7-L8-L9-L10</f>
        <v>9565516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+'Pt 1 Summary of Data'!I44+'Pt 1 Summary of Data'!I45+'Pt 1 Summary of Data'!I46+'Pt 1 Summary of Data'!I47+'Pt 1 Summary of Data'!I49+'Pt 1 Summary of Data'!I50+'Pt 1 Summary of Data'!I51</f>
        <v>2634201</v>
      </c>
      <c r="H20" s="292"/>
      <c r="I20" s="288"/>
      <c r="J20" s="288"/>
      <c r="K20" s="288"/>
      <c r="L20" s="116">
        <f>'Pt 1 Summary of Data'!O44+'Pt 1 Summary of Data'!O45+'Pt 1 Summary of Data'!O46+'Pt 1 Summary of Data'!O47+'Pt 1 Summary of Data'!O49+'Pt 1 Summary of Data'!O50+'Pt 1 Summary of Data'!O51</f>
        <v>1487147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0.87713058382756681</v>
      </c>
      <c r="H21" s="292"/>
      <c r="I21" s="288"/>
      <c r="J21" s="288"/>
      <c r="K21" s="288"/>
      <c r="L21" s="255">
        <f>L19/(L15-L16)</f>
        <v>0.9181662813583904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4.8300000000000003E-2</v>
      </c>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1290521.0250000001</v>
      </c>
      <c r="H23" s="292"/>
      <c r="I23" s="288"/>
      <c r="J23" s="288"/>
      <c r="K23" s="288"/>
      <c r="L23" s="116">
        <f>MAX(MAX(0,L$24),MAX(0,L$25))</f>
        <v>1152237.9890000001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f>
        <v>-609098</v>
      </c>
      <c r="H24" s="292"/>
      <c r="I24" s="288"/>
      <c r="J24" s="288"/>
      <c r="K24" s="288"/>
      <c r="L24" s="116">
        <f>L15-L19-L16-L20</f>
        <v>-634598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381">
        <f>(3%+G$22)*(G$15-G$16+IF(AND(OR('Company Information'!$C$12="District of Columbia",'Company Information'!$C$12="Massachusetts",'Company Information'!$C$12="Vermont"),SUM($G$6:$G$10,$G$15:$G$16)&lt;&gt;0),L$15-L$16,0))</f>
        <v>1290521.0250000001</v>
      </c>
      <c r="H25" s="292"/>
      <c r="I25" s="288"/>
      <c r="J25" s="288"/>
      <c r="K25" s="288"/>
      <c r="L25" s="381">
        <f>(3%+L$22)*(L$15-L$16+IF(AND(OR('Company Information'!$C$12="District of Columbia",'Company Information'!$C$12="Massachusetts",'Company Information'!$C$12="Vermont"),SUM($G$6:$G$10,$G$15:$G$16)&lt;&gt;0),Q$15-Q$16,0))</f>
        <v>1152237.9890000001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4803588.0250000004</v>
      </c>
      <c r="H26" s="292"/>
      <c r="I26" s="288"/>
      <c r="J26" s="288"/>
      <c r="K26" s="288"/>
      <c r="L26" s="116">
        <f>MIN(MAX(0,L$27),MAX(0,L$28))</f>
        <v>2990619.9890000001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4803588.0250000004</v>
      </c>
      <c r="H27" s="292"/>
      <c r="I27" s="288"/>
      <c r="J27" s="288"/>
      <c r="K27" s="288"/>
      <c r="L27" s="116">
        <f>+L20+L23+L16</f>
        <v>2990619.9890000001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381">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4971284.5250000004</v>
      </c>
      <c r="H28" s="292"/>
      <c r="I28" s="288"/>
      <c r="J28" s="288"/>
      <c r="K28" s="288"/>
      <c r="L28" s="381">
        <f>(20%+L$22)*(L$15-L$16+IF(AND(OR('Company Information'!$C$12="District of Columbia",'Company Information'!$C$12="Massachusetts",'Company Information'!$C$12="Vermont"),SUM($G$6:$G$10,$G$15:$G$16)&lt;&gt;0),Q$15-Q$16,0))+L$16+IF(AND(OR('Company Information'!$C$12="District of Columbia",'Company Information'!$C$12="Massachusetts",'Company Information'!$C$12="Vermont"),SUM($G$6:$G$10,$G$15:$G$16)&lt;&gt;0),Q$16,0)</f>
        <v>3274544.0390000003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((G15-G16)*0.2)+G16</f>
        <v>4175216</v>
      </c>
      <c r="H29" s="292"/>
      <c r="I29" s="288"/>
      <c r="J29" s="288"/>
      <c r="K29" s="288"/>
      <c r="L29" s="116">
        <f>((L15-L16)*0.2)+L16</f>
        <v>2434848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12557027.975</v>
      </c>
      <c r="H30" s="292"/>
      <c r="I30" s="288"/>
      <c r="J30" s="288"/>
      <c r="K30" s="288"/>
      <c r="L30" s="116">
        <f>L$15+IF(AND(OR('Company Information'!$C$12="District of Columbia",'Company Information'!$C$12="Massachusetts",'Company Information'!$C$12="Vermont"),SUM($G$6:$G$10,$G$15:$G$16)&lt;&gt;0),Q$15,0)-L$26</f>
        <v>7778680.0109999999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4175216</v>
      </c>
      <c r="H31" s="292"/>
      <c r="I31" s="288"/>
      <c r="J31" s="288"/>
      <c r="K31" s="288"/>
      <c r="L31" s="116">
        <f>MIN(MAX(0,L$27),MAX(0,L$29))</f>
        <v>2434848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13185400</v>
      </c>
      <c r="H32" s="292"/>
      <c r="I32" s="288"/>
      <c r="J32" s="288"/>
      <c r="K32" s="288"/>
      <c r="L32" s="116">
        <f>L$15+IF(AND(OR('Company Information'!$C$12="District of Columbia",'Company Information'!$C$12="Massachusetts",'Company Information'!$C$12="Vermont"),SUM($G$6:$G$10,$G$15:$G$16)&lt;&gt;0),Q$15,0)-L$31</f>
        <v>8334452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1.0964132297844587</v>
      </c>
      <c r="H33" s="354"/>
      <c r="I33" s="355"/>
      <c r="J33" s="355"/>
      <c r="K33" s="355"/>
      <c r="L33" s="375">
        <f>IF(L$32=0,0,L$19/L$32)</f>
        <v>1.1477078516979882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502767</v>
      </c>
      <c r="H34" s="292"/>
      <c r="I34" s="288"/>
      <c r="J34" s="288"/>
      <c r="K34" s="288"/>
      <c r="L34" s="116">
        <v>659808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502767</v>
      </c>
      <c r="H35" s="292"/>
      <c r="I35" s="288"/>
      <c r="J35" s="288"/>
      <c r="K35" s="288"/>
      <c r="L35" s="116">
        <v>659808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4926</v>
      </c>
      <c r="D37" s="122">
        <v>5132</v>
      </c>
      <c r="E37" s="256">
        <f>'Pt 1 Summary of Data'!E60</f>
        <v>5989.416666666667</v>
      </c>
      <c r="F37" s="256">
        <f>+C37+D37+E37</f>
        <v>16047.416666666668</v>
      </c>
      <c r="G37" s="312"/>
      <c r="H37" s="121">
        <v>34768</v>
      </c>
      <c r="I37" s="122">
        <v>34774</v>
      </c>
      <c r="J37" s="256">
        <f>'[1]Pt 1 Summary of Data'!K60</f>
        <v>34970</v>
      </c>
      <c r="K37" s="256">
        <f>+H37+I37+J37</f>
        <v>104512</v>
      </c>
      <c r="L37" s="312"/>
      <c r="M37" s="121">
        <v>13549</v>
      </c>
      <c r="N37" s="122">
        <v>14768</v>
      </c>
      <c r="O37" s="256">
        <f>'[1]Pt 1 Summary of Data'!Q60</f>
        <v>12758.916666666666</v>
      </c>
      <c r="P37" s="256">
        <f>+M37+N37+O37</f>
        <v>41075.916666666664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38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2.1968388888888888E-2</v>
      </c>
      <c r="G38" s="353"/>
      <c r="H38" s="351"/>
      <c r="I38" s="352"/>
      <c r="J38" s="352"/>
      <c r="K38" s="267">
        <f ca="1">IF(OR(K$37&lt;1000,K$37&gt;=75000,AND(H$37&gt;=1000,I$37&gt;=1000,J$37&gt;=1000,H$44&lt;H$49,I$44&lt;I$49,J$44&lt;J$49)),0,VLOOKUP(K$37,'[1]Reference Tables'!$A$4:$B$11,2)+((K$37-VLOOKUP(K$37,'[1]Reference Tables'!$A$4:$B$11,1))*(OFFSET(INDEX('[1]Reference Tables'!$A$4:$A$11,MATCH(K$37,'[1]Reference Tables'!$A$4:$A$11)),1,1)-VLOOKUP(K$37,'[1]Reference Tables'!$A$4:$B$11,2))/(OFFSET(INDEX('[1]Reference Tables'!$A$4:$A$11,MATCH(K$37,'[1]Reference Tables'!$A$4:$A$11)),1,0)-VLOOKUP(K$37,'[1]Reference Tables'!$A$4:$B$11,1))))</f>
        <v>0</v>
      </c>
      <c r="L38" s="353"/>
      <c r="M38" s="351"/>
      <c r="N38" s="352"/>
      <c r="O38" s="352"/>
      <c r="P38" s="384">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1.3427853333333333E-2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IF(F$39&lt;2500,1,(MIN(VLOOKUP(F$39,'[1]Reference Tables'!$A$17:$B$20,2)+((F$39-VLOOKUP(F$39,'[1]Reference Tables'!$A$17:$B$20,1))*(OFFSET(INDEX('[1]Reference Tables'!$A$17:$A$20,MATCH(F$39,'[1]Reference Tables'!$A$17:$A$20)),1,1)-VLOOKUP(F$39,'[1]Reference Tables'!$A$17:$B$20,2))/(OFFSET(INDEX('[1]Reference Tables'!$A$17:$A$20,MATCH(F$39,'[1]Reference Tables'!$A$17:$A$20)),1,0)-VLOOKUP(F$39,'[1]Reference Tables'!$A$17:$B$20,1))),1.736)))</f>
        <v>1</v>
      </c>
      <c r="G40" s="311"/>
      <c r="H40" s="292"/>
      <c r="I40" s="288"/>
      <c r="J40" s="288"/>
      <c r="K40" s="258">
        <f ca="1">IF(K$39&lt;2500,1,(MIN(VLOOKUP(K$39,'[1]Reference Tables'!$A$17:$B$20,2)+((K$39-VLOOKUP(K$39,'[1]Reference Tables'!$A$17:$B$20,1))*(OFFSET(INDEX('[1]Reference Tables'!$A$17:$A$20,MATCH(K$39,'[1]Reference Tables'!$A$17:$A$20)),1,1)-VLOOKUP(K$39,'[1]Reference Tables'!$A$17:$B$20,2))/(OFFSET(INDEX('[1]Reference Tables'!$A$17:$A$20,MATCH(K$39,'[1]Reference Tables'!$A$17:$A$20)),1,0)-VLOOKUP(K$39,'[1]Reference Tables'!$A$17:$B$20,1))),1.736)))</f>
        <v>1</v>
      </c>
      <c r="L40" s="311"/>
      <c r="M40" s="292"/>
      <c r="N40" s="288"/>
      <c r="O40" s="288"/>
      <c r="P40" s="258">
        <f ca="1">IF(P$39&lt;2500,1,(MIN(VLOOKUP(P$39,'[1]Reference Tables'!$A$17:$B$20,2)+((P$39-VLOOKUP(P$39,'[1]Reference Tables'!$A$17:$B$20,1))*(OFFSET(INDEX('[1]Reference Tables'!$A$17:$A$20,MATCH(P$39,'[1]Reference Tables'!$A$17:$A$20)),1,1)-VLOOKUP(P$39,'[1]Reference Tables'!$A$17:$B$20,2))/(OFFSET(INDEX('[1]Reference Tables'!$A$17:$A$20,MATCH(P$39,'[1]Reference Tables'!$A$17:$A$20)),1,0)-VLOOKUP(P$39,'[1]Reference Tables'!$A$17:$B$20,1))),1.736)))</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2.1968388888888888E-2</v>
      </c>
      <c r="G41" s="311"/>
      <c r="H41" s="292"/>
      <c r="I41" s="288"/>
      <c r="J41" s="288"/>
      <c r="K41" s="260">
        <f>IF(OR(K$37&lt;1000,K$37&gt;=75000),0,K$38*K$40)</f>
        <v>0</v>
      </c>
      <c r="L41" s="311"/>
      <c r="M41" s="292"/>
      <c r="N41" s="288"/>
      <c r="O41" s="288"/>
      <c r="P41" s="260">
        <f ca="1">IF(OR(P$37&lt;1000,P$37&gt;=75000),0,P$38*P$40)</f>
        <v>1.3427853333333333E-2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1.1405071156068058</v>
      </c>
      <c r="D44" s="260">
        <f>IF(OR(D$37&lt;1000,D$17&lt;=0),"",D$12/D$17)</f>
        <v>1.1302487479145804</v>
      </c>
      <c r="E44" s="260">
        <f>IF(OR(E$37&lt;1000,E$17&lt;=0),"",E$12/E$17)</f>
        <v>0.82431173980721328</v>
      </c>
      <c r="F44" s="260">
        <f>IF(OR(F$37&lt;1000,F$17&lt;=0),"",F$12/F$17)</f>
        <v>0.97994673317376968</v>
      </c>
      <c r="G44" s="311"/>
      <c r="H44" s="262">
        <f>IF(OR(H$37&lt;1000,H$17&lt;=0),"",H$12/H$17)</f>
        <v>0.87856458900953605</v>
      </c>
      <c r="I44" s="260">
        <f>IF(OR(I$37&lt;1000,I$17&lt;=0),"",I$12/I$17)</f>
        <v>0.87785780681690573</v>
      </c>
      <c r="J44" s="260">
        <f>IF(OR(J$37&lt;1000,J$17&lt;=0),"",J$12/J$17)</f>
        <v>0.94372577624166376</v>
      </c>
      <c r="K44" s="260">
        <f>IF(OR(K$37&lt;1000,K$17&lt;=0),"",K$12/K$17)</f>
        <v>0.90023606200597817</v>
      </c>
      <c r="L44" s="311"/>
      <c r="M44" s="262">
        <f>IF(OR(M$37&lt;1000,M$17&lt;=0),"",M$12/M$17)</f>
        <v>0.89966811742206587</v>
      </c>
      <c r="N44" s="260">
        <f>IF(OR(N$37&lt;1000,N$17&lt;=0),"",N$12/N$17)</f>
        <v>1.1552084065129942</v>
      </c>
      <c r="O44" s="260">
        <f>IF(OR(O$37&lt;1000,O$17&lt;=0),"",O$12/O$17)</f>
        <v>0.88073925493266503</v>
      </c>
      <c r="P44" s="260">
        <f>IF(OR(P$37&lt;1000,P$17&lt;=0),"",P$12/P$17)</f>
        <v>0.97815560976105509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2.1968388888888888E-2</v>
      </c>
      <c r="G46" s="311"/>
      <c r="H46" s="292"/>
      <c r="I46" s="288"/>
      <c r="J46" s="288"/>
      <c r="K46" s="260">
        <f>IF(K$44="","",K$41)</f>
        <v>0</v>
      </c>
      <c r="L46" s="311"/>
      <c r="M46" s="292"/>
      <c r="N46" s="288"/>
      <c r="O46" s="288"/>
      <c r="P46" s="260">
        <f ca="1">IF(P$44="","",P$41)</f>
        <v>1.3427853333333333E-2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1.002</v>
      </c>
      <c r="G47" s="311"/>
      <c r="H47" s="292"/>
      <c r="I47" s="288"/>
      <c r="J47" s="288"/>
      <c r="K47" s="260">
        <f>IF(K$44="","",ROUND(K$44+MAX(0,K$46),3))</f>
        <v>0.9</v>
      </c>
      <c r="L47" s="311"/>
      <c r="M47" s="292"/>
      <c r="N47" s="288"/>
      <c r="O47" s="288"/>
      <c r="P47" s="260">
        <f ca="1">IF(P$44="","",ROUND(P$44+MAX(0,P$46),3))</f>
        <v>0.99199999999999999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1.002</v>
      </c>
      <c r="G50" s="311"/>
      <c r="H50" s="293"/>
      <c r="I50" s="289"/>
      <c r="J50" s="289"/>
      <c r="K50" s="260">
        <f>K$47</f>
        <v>0.9</v>
      </c>
      <c r="L50" s="311"/>
      <c r="M50" s="293"/>
      <c r="N50" s="289"/>
      <c r="O50" s="289"/>
      <c r="P50" s="260">
        <f ca="1">P$47</f>
        <v>0.99199999999999999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20887958</v>
      </c>
      <c r="G51" s="311"/>
      <c r="H51" s="292"/>
      <c r="I51" s="288"/>
      <c r="J51" s="288"/>
      <c r="K51" s="115">
        <f>IF(K$37&lt;1000,"",MAX(0,J$15-J$16))</f>
        <v>149991176</v>
      </c>
      <c r="L51" s="311"/>
      <c r="M51" s="292"/>
      <c r="N51" s="288"/>
      <c r="O51" s="288"/>
      <c r="P51" s="115">
        <f>IF(P$37&lt;1000,"",MAX(0,O$15-O$16))</f>
        <v>55859864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5112</v>
      </c>
      <c r="D4" s="149">
        <v>18252</v>
      </c>
      <c r="E4" s="149">
        <v>6115</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t="s">
        <v>509</v>
      </c>
      <c r="E6" s="7"/>
    </row>
    <row r="7" spans="1:5" ht="35.25" customHeight="1" x14ac:dyDescent="0.2">
      <c r="B7" s="219"/>
      <c r="C7" s="150"/>
      <c r="D7" s="222" t="s">
        <v>506</v>
      </c>
      <c r="E7" s="7"/>
    </row>
    <row r="8" spans="1:5" ht="35.25" customHeight="1" x14ac:dyDescent="0.2">
      <c r="B8" s="219"/>
      <c r="C8" s="150"/>
      <c r="D8" s="222" t="s">
        <v>507</v>
      </c>
      <c r="E8" s="7"/>
    </row>
    <row r="9" spans="1:5" ht="35.25" customHeight="1" x14ac:dyDescent="0.2">
      <c r="B9" s="219"/>
      <c r="C9" s="150"/>
      <c r="D9" s="222" t="s">
        <v>508</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515</v>
      </c>
      <c r="C27" s="150"/>
      <c r="D27" s="223" t="s">
        <v>512</v>
      </c>
      <c r="E27" s="7"/>
    </row>
    <row r="28" spans="2:5" ht="35.25" customHeight="1" x14ac:dyDescent="0.2">
      <c r="B28" s="219" t="s">
        <v>510</v>
      </c>
      <c r="C28" s="150"/>
      <c r="D28" s="222" t="s">
        <v>513</v>
      </c>
      <c r="E28" s="7"/>
    </row>
    <row r="29" spans="2:5" ht="35.25" customHeight="1" x14ac:dyDescent="0.2">
      <c r="B29" s="219" t="s">
        <v>511</v>
      </c>
      <c r="C29" s="150"/>
      <c r="D29" s="222" t="s">
        <v>516</v>
      </c>
      <c r="E29" s="7"/>
    </row>
    <row r="30" spans="2:5" ht="35.25" customHeight="1" x14ac:dyDescent="0.2">
      <c r="B30" s="219" t="s">
        <v>514</v>
      </c>
      <c r="C30" s="150"/>
      <c r="D30" s="222" t="s">
        <v>517</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518</v>
      </c>
      <c r="C34" s="150"/>
      <c r="D34" s="222" t="s">
        <v>519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521</v>
      </c>
      <c r="C56" s="152"/>
      <c r="D56" s="222" t="s">
        <v>522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528</v>
      </c>
      <c r="C67" s="152"/>
      <c r="D67" s="222" t="s">
        <v>522</v>
      </c>
      <c r="E67" s="7"/>
    </row>
    <row r="68" spans="2:5" ht="35.25" customHeight="1" x14ac:dyDescent="0.2">
      <c r="B68" s="219" t="s">
        <v>544</v>
      </c>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524</v>
      </c>
      <c r="C78" s="152"/>
      <c r="D78" s="222" t="s">
        <v>522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525</v>
      </c>
      <c r="C89" s="152"/>
      <c r="D89" s="222" t="s">
        <v>522</v>
      </c>
      <c r="E89" s="7"/>
    </row>
    <row r="90" spans="2:5" ht="35.25" customHeight="1" x14ac:dyDescent="0.2">
      <c r="B90" s="219" t="s">
        <v>526</v>
      </c>
      <c r="C90" s="152"/>
      <c r="D90" s="222"/>
      <c r="E90" s="7"/>
    </row>
    <row r="91" spans="2:5" ht="35.25" customHeight="1" x14ac:dyDescent="0.2">
      <c r="B91" s="219" t="s">
        <v>527</v>
      </c>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529</v>
      </c>
      <c r="C100" s="152"/>
      <c r="D100" s="222" t="s">
        <v>533</v>
      </c>
      <c r="E100" s="7"/>
    </row>
    <row r="101" spans="2:5" ht="35.25" customHeight="1" x14ac:dyDescent="0.2">
      <c r="B101" s="219" t="s">
        <v>530</v>
      </c>
      <c r="C101" s="152"/>
      <c r="D101" s="222"/>
      <c r="E101" s="7"/>
    </row>
    <row r="102" spans="2:5" ht="35.25" customHeight="1" x14ac:dyDescent="0.2">
      <c r="B102" s="219" t="s">
        <v>531</v>
      </c>
      <c r="C102" s="152"/>
      <c r="D102" s="222"/>
      <c r="E102" s="7"/>
    </row>
    <row r="103" spans="2:5" ht="35.25" customHeight="1" x14ac:dyDescent="0.2">
      <c r="B103" s="219" t="s">
        <v>532</v>
      </c>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534</v>
      </c>
      <c r="C123" s="150"/>
      <c r="D123" s="222" t="s">
        <v>522</v>
      </c>
      <c r="E123" s="7"/>
    </row>
    <row r="124" spans="2:5" s="5" customFormat="1" ht="35.25" customHeight="1" x14ac:dyDescent="0.2">
      <c r="B124" s="219" t="s">
        <v>545</v>
      </c>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535</v>
      </c>
      <c r="C134" s="150"/>
      <c r="D134" s="222" t="s">
        <v>522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546</v>
      </c>
      <c r="C145" s="150"/>
      <c r="D145" s="222" t="s">
        <v>536</v>
      </c>
      <c r="E145" s="27"/>
    </row>
    <row r="146" spans="2:5" s="5" customFormat="1" ht="35.25" customHeight="1" x14ac:dyDescent="0.2">
      <c r="B146" s="219"/>
      <c r="C146" s="150"/>
      <c r="D146" s="222" t="s">
        <v>537</v>
      </c>
      <c r="E146" s="27"/>
    </row>
    <row r="147" spans="2:5" s="5" customFormat="1" ht="35.25" customHeight="1" x14ac:dyDescent="0.2">
      <c r="B147" s="219"/>
      <c r="C147" s="150"/>
      <c r="D147" s="222" t="s">
        <v>538</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539</v>
      </c>
      <c r="C156" s="150"/>
      <c r="D156" s="222" t="s">
        <v>540</v>
      </c>
      <c r="E156" s="27"/>
    </row>
    <row r="157" spans="2:5" s="5" customFormat="1" ht="35.25" customHeight="1" x14ac:dyDescent="0.2">
      <c r="B157" s="219"/>
      <c r="C157" s="150"/>
      <c r="D157" s="222" t="s">
        <v>541</v>
      </c>
      <c r="E157" s="27"/>
    </row>
    <row r="158" spans="2:5" s="5" customFormat="1" ht="35.25" customHeight="1" x14ac:dyDescent="0.2">
      <c r="B158" s="219"/>
      <c r="C158" s="150"/>
      <c r="D158" s="222" t="s">
        <v>538</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542</v>
      </c>
      <c r="C167" s="150"/>
      <c r="D167" s="222" t="s">
        <v>522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543</v>
      </c>
      <c r="C178" s="150"/>
      <c r="D178" s="222" t="s">
        <v>522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2015-07-27T17:50:51Z</cp:lastPrinted>
  <dcterms:created xsi:type="dcterms:W3CDTF">2012-03-15T16:14:51Z</dcterms:created>
  <dcterms:modified xsi:type="dcterms:W3CDTF">2015-09-11T20:36:09Z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