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s-group\dim_daten\MEDPOL\IHAMZ\HAM_Admin\Weiterbildung\Curriculum_Praxisassistenz\"/>
    </mc:Choice>
  </mc:AlternateContent>
  <bookViews>
    <workbookView xWindow="120" yWindow="45" windowWidth="13320" windowHeight="3450" tabRatio="855"/>
  </bookViews>
  <sheets>
    <sheet name="2024 USZ Datensätze" sheetId="6" r:id="rId1"/>
    <sheet name="Über Budget" sheetId="19" r:id="rId2"/>
    <sheet name="Leist.Vereinbarung 2022-24" sheetId="18" r:id="rId3"/>
  </sheets>
  <definedNames>
    <definedName name="_FilterDatabase" localSheetId="0" hidden="1">'2024 USZ Datensätze'!$A$14:$AA$64</definedName>
    <definedName name="_xlnm._FilterDatabase" localSheetId="0" hidden="1">'2024 USZ Datensätze'!$A$14:$AL$108</definedName>
    <definedName name="Print_Titles" localSheetId="0">'2024 USZ Datensätze'!$14:$14</definedName>
  </definedNames>
  <calcPr calcId="162913"/>
</workbook>
</file>

<file path=xl/calcChain.xml><?xml version="1.0" encoding="utf-8"?>
<calcChain xmlns="http://schemas.openxmlformats.org/spreadsheetml/2006/main">
  <c r="Q108" i="6" l="1"/>
  <c r="U108" i="6"/>
  <c r="P108" i="6"/>
  <c r="Q72" i="6" l="1"/>
  <c r="X104" i="6" l="1"/>
  <c r="X105" i="6"/>
  <c r="X106" i="6"/>
  <c r="X107" i="6"/>
  <c r="X108" i="6"/>
  <c r="P107" i="6" l="1"/>
  <c r="U107" i="6"/>
  <c r="Q107" i="6" l="1"/>
  <c r="Q103" i="6" l="1"/>
  <c r="U34" i="6" l="1"/>
  <c r="U31" i="6"/>
  <c r="P50" i="6" l="1"/>
  <c r="P49" i="6"/>
  <c r="P48" i="6"/>
  <c r="U48" i="6"/>
  <c r="Q48" i="6"/>
  <c r="L10" i="6"/>
  <c r="K10" i="6"/>
  <c r="J10" i="6"/>
  <c r="I10" i="6"/>
  <c r="P42" i="6"/>
  <c r="P41" i="6"/>
  <c r="P40" i="6"/>
  <c r="Q46" i="6"/>
  <c r="U46" i="6" s="1"/>
  <c r="P46" i="6"/>
  <c r="Q45" i="6"/>
  <c r="U45" i="6" s="1"/>
  <c r="X45" i="6" s="1"/>
  <c r="P45" i="6"/>
  <c r="P44" i="6"/>
  <c r="Q44" i="6"/>
  <c r="U44" i="6" s="1"/>
  <c r="Q35" i="6"/>
  <c r="U35" i="6" s="1"/>
  <c r="P35" i="6"/>
  <c r="P34" i="6"/>
  <c r="Q34" i="6"/>
  <c r="P38" i="6"/>
  <c r="Q38" i="6"/>
  <c r="U38" i="6" s="1"/>
  <c r="P31" i="6"/>
  <c r="Q31" i="6"/>
  <c r="X31" i="6" s="1"/>
  <c r="U103" i="6" l="1"/>
  <c r="X103" i="6" s="1"/>
  <c r="P103" i="6"/>
  <c r="P102" i="6" l="1"/>
  <c r="Q102" i="6"/>
  <c r="U102" i="6" s="1"/>
  <c r="X102" i="6" s="1"/>
  <c r="P104" i="6" l="1"/>
  <c r="P105" i="6"/>
  <c r="P106" i="6"/>
  <c r="Q106" i="6"/>
  <c r="U106" i="6" s="1"/>
  <c r="P19" i="6" l="1"/>
  <c r="P20" i="6"/>
  <c r="Q57" i="6" l="1"/>
  <c r="Q101" i="6" l="1"/>
  <c r="Q87" i="6"/>
  <c r="Q93" i="6" l="1"/>
  <c r="AM98" i="6" l="1"/>
  <c r="AM100" i="6"/>
  <c r="AM99" i="6"/>
  <c r="AM101" i="6"/>
  <c r="AM97" i="6"/>
  <c r="AM94" i="6"/>
  <c r="AM93" i="6"/>
  <c r="AM92" i="6"/>
  <c r="AM91" i="6"/>
  <c r="AM89" i="6" l="1"/>
  <c r="AM88" i="6"/>
  <c r="AM87" i="6"/>
  <c r="AM86" i="6"/>
  <c r="AM85" i="6"/>
  <c r="AM84" i="6"/>
  <c r="AM83" i="6"/>
  <c r="AM82" i="6"/>
  <c r="AM81" i="6"/>
  <c r="AM80" i="6"/>
  <c r="AM79" i="6"/>
  <c r="AM78" i="6"/>
  <c r="AM77" i="6"/>
  <c r="AM76" i="6"/>
  <c r="AM75" i="6"/>
  <c r="AM74" i="6"/>
  <c r="AM73" i="6"/>
  <c r="AM71" i="6"/>
  <c r="AM70" i="6"/>
  <c r="AM69" i="6"/>
  <c r="AM68" i="6"/>
  <c r="AM67" i="6"/>
  <c r="AM66" i="6"/>
  <c r="AM65" i="6"/>
  <c r="AM64" i="6"/>
  <c r="AM63" i="6"/>
  <c r="AM62" i="6"/>
  <c r="AM60" i="6"/>
  <c r="AM58" i="6"/>
  <c r="AM57" i="6"/>
  <c r="AM56" i="6"/>
  <c r="AM55" i="6"/>
  <c r="AM54" i="6"/>
  <c r="AM53" i="6"/>
  <c r="AM52" i="6"/>
  <c r="AM30" i="6"/>
  <c r="AM29" i="6"/>
  <c r="AM23" i="6"/>
  <c r="AM22" i="6"/>
  <c r="P101" i="6" l="1"/>
  <c r="U101" i="6"/>
  <c r="X101" i="6" s="1"/>
  <c r="Q86" i="6" l="1"/>
  <c r="Q84" i="6"/>
  <c r="Q80" i="6"/>
  <c r="Q79" i="6"/>
  <c r="Q78" i="6"/>
  <c r="Q77" i="6"/>
  <c r="Q76" i="6"/>
  <c r="Q75" i="6"/>
  <c r="Q74" i="6"/>
  <c r="Q71" i="6"/>
  <c r="Q70" i="6"/>
  <c r="Q69" i="6"/>
  <c r="Q68" i="6"/>
  <c r="Q67" i="6"/>
  <c r="Q66" i="6"/>
  <c r="Q65" i="6"/>
  <c r="Q64" i="6"/>
  <c r="Q63" i="6"/>
  <c r="Q62" i="6"/>
  <c r="Q61" i="6"/>
  <c r="Q60" i="6"/>
  <c r="Q58" i="6" l="1"/>
  <c r="Q56" i="6"/>
  <c r="Q55" i="6"/>
  <c r="Q54" i="6"/>
  <c r="Q53" i="6"/>
  <c r="Q52" i="6"/>
  <c r="Q51" i="6"/>
  <c r="Q43" i="6"/>
  <c r="Q37" i="6"/>
  <c r="Q36" i="6"/>
  <c r="Q33" i="6"/>
  <c r="Q32" i="6"/>
  <c r="Q30" i="6"/>
  <c r="Q29" i="6"/>
  <c r="Q28" i="6"/>
  <c r="Q27" i="6"/>
  <c r="Q26" i="6"/>
  <c r="Q25" i="6"/>
  <c r="Q24" i="6"/>
  <c r="Q23" i="6"/>
  <c r="Q22" i="6"/>
  <c r="Q21" i="6"/>
  <c r="Q20" i="6" l="1"/>
  <c r="Q19" i="6"/>
  <c r="Q18" i="6"/>
  <c r="U18" i="6" s="1"/>
  <c r="Q17" i="6"/>
  <c r="U17" i="6" s="1"/>
  <c r="Q16" i="6"/>
  <c r="U16" i="6" s="1"/>
  <c r="Q15" i="6"/>
  <c r="U15" i="6" s="1"/>
  <c r="Q83" i="6"/>
  <c r="P97" i="6" l="1"/>
  <c r="P98" i="6"/>
  <c r="P99" i="6"/>
  <c r="P100" i="6"/>
  <c r="P88" i="6" l="1"/>
  <c r="P89" i="6"/>
  <c r="P90" i="6"/>
  <c r="P91" i="6"/>
  <c r="P92" i="6"/>
  <c r="Q92" i="6"/>
  <c r="U92" i="6" s="1"/>
  <c r="X92" i="6" s="1"/>
  <c r="U72" i="6" l="1"/>
  <c r="X72" i="6" s="1"/>
  <c r="V10" i="6" s="1"/>
  <c r="P72" i="6"/>
  <c r="Q100" i="6" l="1"/>
  <c r="U100" i="6" s="1"/>
  <c r="X100" i="6" s="1"/>
  <c r="Q99" i="6" l="1"/>
  <c r="U99" i="6" s="1"/>
  <c r="X99" i="6" s="1"/>
  <c r="Q98" i="6"/>
  <c r="U98" i="6" s="1"/>
  <c r="X98" i="6" s="1"/>
  <c r="Q97" i="6" l="1"/>
  <c r="U97" i="6" s="1"/>
  <c r="X97" i="6" s="1"/>
  <c r="Q94" i="6" l="1"/>
  <c r="U94" i="6" s="1"/>
  <c r="X94" i="6" s="1"/>
  <c r="P59" i="6" l="1"/>
  <c r="P93" i="6"/>
  <c r="P95" i="6"/>
  <c r="P96" i="6"/>
  <c r="P94" i="6"/>
  <c r="Q96" i="6" l="1"/>
  <c r="U96" i="6" s="1"/>
  <c r="X96" i="6" s="1"/>
  <c r="Q95" i="6"/>
  <c r="U95" i="6" s="1"/>
  <c r="X95" i="6" s="1"/>
  <c r="Q90" i="6"/>
  <c r="U90" i="6" s="1"/>
  <c r="X90" i="6" s="1"/>
  <c r="Q91" i="6"/>
  <c r="U91" i="6" s="1"/>
  <c r="X91" i="6" s="1"/>
  <c r="U93" i="6"/>
  <c r="X93" i="6" s="1"/>
  <c r="P87" i="6"/>
  <c r="U87" i="6" l="1"/>
  <c r="X87" i="6" s="1"/>
  <c r="Q88" i="6"/>
  <c r="U88" i="6" s="1"/>
  <c r="X88" i="6" s="1"/>
  <c r="Q89" i="6"/>
  <c r="U89" i="6" s="1"/>
  <c r="X89" i="6" s="1"/>
  <c r="Q104" i="6"/>
  <c r="U104" i="6" s="1"/>
  <c r="Q105" i="6"/>
  <c r="U105" i="6" s="1"/>
  <c r="U60" i="6" l="1"/>
  <c r="X60" i="6" s="1"/>
  <c r="P60" i="6"/>
  <c r="Q59" i="6"/>
  <c r="U59" i="6" s="1"/>
  <c r="X59" i="6" s="1"/>
  <c r="U56" i="6"/>
  <c r="X56" i="6" s="1"/>
  <c r="P56" i="6"/>
  <c r="P57" i="6"/>
  <c r="U57" i="6"/>
  <c r="X57" i="6" s="1"/>
  <c r="U86" i="6" l="1"/>
  <c r="X86" i="6" s="1"/>
  <c r="P86" i="6"/>
  <c r="P85" i="6"/>
  <c r="Q85" i="6"/>
  <c r="U85" i="6" s="1"/>
  <c r="X85" i="6" s="1"/>
  <c r="U26" i="6" l="1"/>
  <c r="X26" i="6" s="1"/>
  <c r="P26" i="6"/>
  <c r="P83" i="6" l="1"/>
  <c r="P84" i="6"/>
  <c r="U84" i="6"/>
  <c r="X84" i="6" s="1"/>
  <c r="P47" i="6" l="1"/>
  <c r="P43" i="6"/>
  <c r="Q47" i="6"/>
  <c r="U36" i="6" l="1"/>
  <c r="X36" i="6" s="1"/>
  <c r="U37" i="6"/>
  <c r="X37" i="6" s="1"/>
  <c r="Q39" i="6"/>
  <c r="U39" i="6" s="1"/>
  <c r="X39" i="6" s="1"/>
  <c r="U43" i="6"/>
  <c r="X43" i="6" s="1"/>
  <c r="U47" i="6"/>
  <c r="X47" i="6" s="1"/>
  <c r="U83" i="6"/>
  <c r="X83" i="6" s="1"/>
  <c r="Q82" i="6"/>
  <c r="U82" i="6" s="1"/>
  <c r="X82" i="6" s="1"/>
  <c r="P82" i="6"/>
  <c r="Q81" i="6"/>
  <c r="U81" i="6" s="1"/>
  <c r="X81" i="6" s="1"/>
  <c r="P81" i="6"/>
  <c r="U80" i="6"/>
  <c r="X80" i="6" s="1"/>
  <c r="P80" i="6"/>
  <c r="U79" i="6"/>
  <c r="X79" i="6" s="1"/>
  <c r="P79" i="6"/>
  <c r="U78" i="6"/>
  <c r="X78" i="6" s="1"/>
  <c r="P78" i="6"/>
  <c r="U77" i="6"/>
  <c r="X77" i="6" s="1"/>
  <c r="P77" i="6"/>
  <c r="U76" i="6"/>
  <c r="X76" i="6" s="1"/>
  <c r="P76" i="6"/>
  <c r="U75" i="6"/>
  <c r="X75" i="6" s="1"/>
  <c r="P75" i="6"/>
  <c r="U74" i="6"/>
  <c r="X74" i="6" s="1"/>
  <c r="P74" i="6"/>
  <c r="U73" i="6"/>
  <c r="X73" i="6" s="1"/>
  <c r="P73" i="6"/>
  <c r="U71" i="6"/>
  <c r="X71" i="6" s="1"/>
  <c r="P71" i="6"/>
  <c r="U70" i="6"/>
  <c r="X70" i="6" s="1"/>
  <c r="P70" i="6"/>
  <c r="U69" i="6"/>
  <c r="X69" i="6" s="1"/>
  <c r="P69" i="6"/>
  <c r="U68" i="6"/>
  <c r="X68" i="6" s="1"/>
  <c r="P68" i="6"/>
  <c r="U67" i="6"/>
  <c r="X67" i="6" s="1"/>
  <c r="P67" i="6"/>
  <c r="U66" i="6"/>
  <c r="X66" i="6" s="1"/>
  <c r="P66" i="6"/>
  <c r="U65" i="6"/>
  <c r="X65" i="6" s="1"/>
  <c r="P65" i="6"/>
  <c r="U64" i="6"/>
  <c r="X64" i="6" s="1"/>
  <c r="P64" i="6"/>
  <c r="U63" i="6"/>
  <c r="X63" i="6" s="1"/>
  <c r="P63" i="6"/>
  <c r="U62" i="6"/>
  <c r="X62" i="6" s="1"/>
  <c r="P62" i="6"/>
  <c r="U61" i="6"/>
  <c r="X61" i="6" s="1"/>
  <c r="P61" i="6"/>
  <c r="U58" i="6"/>
  <c r="X58" i="6" s="1"/>
  <c r="P58" i="6"/>
  <c r="U55" i="6"/>
  <c r="X55" i="6" s="1"/>
  <c r="P55" i="6"/>
  <c r="U54" i="6"/>
  <c r="X54" i="6" s="1"/>
  <c r="P54" i="6"/>
  <c r="U53" i="6"/>
  <c r="X53" i="6" s="1"/>
  <c r="P53" i="6"/>
  <c r="U52" i="6"/>
  <c r="X52" i="6" s="1"/>
  <c r="P52" i="6"/>
  <c r="U51" i="6"/>
  <c r="X51" i="6" s="1"/>
  <c r="P51" i="6"/>
  <c r="P39" i="6"/>
  <c r="P37" i="6"/>
  <c r="P36" i="6"/>
  <c r="U33" i="6"/>
  <c r="X33" i="6" s="1"/>
  <c r="P33" i="6"/>
  <c r="U32" i="6"/>
  <c r="X32" i="6" s="1"/>
  <c r="P32" i="6"/>
  <c r="U30" i="6"/>
  <c r="X30" i="6" s="1"/>
  <c r="P30" i="6"/>
  <c r="U29" i="6"/>
  <c r="P29" i="6"/>
  <c r="U28" i="6"/>
  <c r="X28" i="6" s="1"/>
  <c r="P28" i="6"/>
  <c r="U27" i="6"/>
  <c r="X27" i="6" s="1"/>
  <c r="P27" i="6"/>
  <c r="U25" i="6"/>
  <c r="X25" i="6" s="1"/>
  <c r="P25" i="6"/>
  <c r="U24" i="6"/>
  <c r="X24" i="6" s="1"/>
  <c r="P24" i="6"/>
  <c r="U23" i="6"/>
  <c r="P23" i="6"/>
  <c r="U22" i="6"/>
  <c r="X22" i="6" s="1"/>
  <c r="P22" i="6"/>
  <c r="U21" i="6"/>
  <c r="X21" i="6" s="1"/>
  <c r="P21" i="6"/>
  <c r="W29" i="6" l="1"/>
  <c r="X29" i="6" s="1"/>
  <c r="W23" i="6"/>
  <c r="X23" i="6" s="1"/>
  <c r="U20" i="6" l="1"/>
  <c r="U4" i="6" l="1"/>
  <c r="U3" i="6"/>
  <c r="P18" i="6" l="1"/>
  <c r="J2" i="6" l="1"/>
  <c r="P17" i="6" l="1"/>
  <c r="U2" i="6" l="1"/>
  <c r="U19" i="6" l="1"/>
  <c r="U5" i="6" l="1"/>
  <c r="P15" i="6"/>
  <c r="P16" i="6"/>
  <c r="U6" i="6" l="1"/>
  <c r="V9" i="6"/>
  <c r="X9" i="6" s="1"/>
  <c r="L11" i="6"/>
  <c r="I11" i="6" l="1"/>
  <c r="J11" i="6"/>
  <c r="X10" i="6"/>
  <c r="M10" i="6"/>
  <c r="K11" i="6"/>
  <c r="M11" i="6" s="1"/>
</calcChain>
</file>

<file path=xl/sharedStrings.xml><?xml version="1.0" encoding="utf-8"?>
<sst xmlns="http://schemas.openxmlformats.org/spreadsheetml/2006/main" count="1096" uniqueCount="386">
  <si>
    <t>Nachname</t>
  </si>
  <si>
    <t>Vorname</t>
  </si>
  <si>
    <t>Anstellung 
von</t>
  </si>
  <si>
    <t>Anstellung 
bis</t>
  </si>
  <si>
    <t>unbefristet</t>
  </si>
  <si>
    <t>Markun</t>
  </si>
  <si>
    <t>Stefan</t>
  </si>
  <si>
    <t>Rosemann</t>
  </si>
  <si>
    <t>Jahr</t>
  </si>
  <si>
    <t>AG</t>
  </si>
  <si>
    <t>Kosten
stelle</t>
  </si>
  <si>
    <t>Praxis</t>
  </si>
  <si>
    <t>Praxis
Fachrichtung</t>
  </si>
  <si>
    <t>Klasse / LS</t>
  </si>
  <si>
    <t>BG%</t>
  </si>
  <si>
    <t>Lohn-
anteil %</t>
  </si>
  <si>
    <t xml:space="preserve">BG%
gewichtet
</t>
  </si>
  <si>
    <t>Mon.lohn
inkl.
 13.Gehalt</t>
  </si>
  <si>
    <t>Anz
Monate</t>
  </si>
  <si>
    <t>USZ</t>
  </si>
  <si>
    <t>40</t>
  </si>
  <si>
    <t>80</t>
  </si>
  <si>
    <t>20 / 1</t>
  </si>
  <si>
    <t>GD</t>
  </si>
  <si>
    <t>Administration</t>
  </si>
  <si>
    <t>Curriculum Derma</t>
  </si>
  <si>
    <t>20 / 2</t>
  </si>
  <si>
    <t>Curriculum Klinik</t>
  </si>
  <si>
    <t>Spital</t>
  </si>
  <si>
    <t>20 / 3</t>
  </si>
  <si>
    <t>Klinik USZ: ORL</t>
  </si>
  <si>
    <t>Curriculum PA</t>
  </si>
  <si>
    <t>Allgemeine Innere Medizin</t>
  </si>
  <si>
    <t>Praxisassistenz</t>
  </si>
  <si>
    <t>Kinder-und Jugendmedizin</t>
  </si>
  <si>
    <t>Schmid</t>
  </si>
  <si>
    <t>Plate</t>
  </si>
  <si>
    <t>Andreas</t>
  </si>
  <si>
    <t>22 / 13</t>
  </si>
  <si>
    <t>Summe</t>
  </si>
  <si>
    <t>Programm</t>
  </si>
  <si>
    <t>HAM</t>
  </si>
  <si>
    <t>GD / Institut</t>
  </si>
  <si>
    <t>Personen-ID</t>
  </si>
  <si>
    <t>Innenauftrags-nummern</t>
  </si>
  <si>
    <t>Forschung Institut</t>
  </si>
  <si>
    <t>Knechtle</t>
  </si>
  <si>
    <t>Lukas</t>
  </si>
  <si>
    <t>Katja</t>
  </si>
  <si>
    <t>22 / 12</t>
  </si>
  <si>
    <t>Klinik USZ: Rheuma</t>
  </si>
  <si>
    <t>Dr. V. Enderlin</t>
  </si>
  <si>
    <t>Niggli</t>
  </si>
  <si>
    <t>Fabian</t>
  </si>
  <si>
    <t>Naduvathumuriyil</t>
  </si>
  <si>
    <t>Tino</t>
  </si>
  <si>
    <t>Bigger</t>
  </si>
  <si>
    <t>Claudio</t>
  </si>
  <si>
    <t>Aeschbacher</t>
  </si>
  <si>
    <t>Nathan</t>
  </si>
  <si>
    <t>Lohnkosten
 inkl.SV</t>
  </si>
  <si>
    <t>Ist</t>
  </si>
  <si>
    <t>8841 / 8846</t>
  </si>
  <si>
    <t>Budget</t>
  </si>
  <si>
    <t>Benz / Peier / Heiden</t>
  </si>
  <si>
    <t>Curr + PA - LP</t>
  </si>
  <si>
    <t>Restmittel</t>
  </si>
  <si>
    <t>Klinik</t>
  </si>
  <si>
    <t>PA</t>
  </si>
  <si>
    <t>PA Päd</t>
  </si>
  <si>
    <t>BG = 7'200</t>
  </si>
  <si>
    <t>Stellen à 6 Mon à 100%</t>
  </si>
  <si>
    <t>BG Ist</t>
  </si>
  <si>
    <t>BG Plan</t>
  </si>
  <si>
    <t xml:space="preserve">Lohnkosten inkl. AG-Anteil </t>
  </si>
  <si>
    <t>PA gesamt</t>
  </si>
  <si>
    <t>Curriculum Rheuma</t>
  </si>
  <si>
    <t>2023</t>
  </si>
  <si>
    <t>Klinik USZ: Derma</t>
  </si>
  <si>
    <t>Martin</t>
  </si>
  <si>
    <t>Lohnkosten GD =
Curr + PA - LP</t>
  </si>
  <si>
    <t>Lohnkosten 
(inkl. SV)
Curr  bzw. PA</t>
  </si>
  <si>
    <t xml:space="preserve">Beiträge Lehrpraktiker (LP) 
</t>
  </si>
  <si>
    <t>Umbricht</t>
  </si>
  <si>
    <t>Fabienne</t>
  </si>
  <si>
    <t>Dr. Kuster, Winterthur</t>
  </si>
  <si>
    <t>Dietrich</t>
  </si>
  <si>
    <t>Anna</t>
  </si>
  <si>
    <t>Mai</t>
  </si>
  <si>
    <t>Erläuterung</t>
  </si>
  <si>
    <t xml:space="preserve">Curriculum </t>
  </si>
  <si>
    <t>6 Stellen a 12 Monate a 100%</t>
  </si>
  <si>
    <t>PA-Curr</t>
  </si>
  <si>
    <t>4 Stellen a 6 Monate a 100%</t>
  </si>
  <si>
    <t>34 - 4 PA-Curr = 30 Stellen frei zur Verfügung</t>
  </si>
  <si>
    <t>Jahr 2022:</t>
  </si>
  <si>
    <t>Jahr 2023:</t>
  </si>
  <si>
    <t>42 - 4 PA-Curr = 38 Stellen frei zur Verfügung</t>
  </si>
  <si>
    <t>BG &lt;= 20'400</t>
  </si>
  <si>
    <t>BG &gt;= 4'800</t>
  </si>
  <si>
    <t>BG  &lt;= 25'200</t>
  </si>
  <si>
    <t>20 / 4</t>
  </si>
  <si>
    <t>Peter</t>
  </si>
  <si>
    <t>Maike</t>
  </si>
  <si>
    <t>Köppelmann,Beurer, Baruffol</t>
  </si>
  <si>
    <t>Selma</t>
  </si>
  <si>
    <t>Hottinger</t>
  </si>
  <si>
    <t>Gabathuler</t>
  </si>
  <si>
    <t>Martina</t>
  </si>
  <si>
    <t>20 / 5</t>
  </si>
  <si>
    <t>Kohler</t>
  </si>
  <si>
    <t>Maurus</t>
  </si>
  <si>
    <t>Arud Zürich</t>
  </si>
  <si>
    <t>Leonie</t>
  </si>
  <si>
    <t>Kreysing</t>
  </si>
  <si>
    <t>Tina</t>
  </si>
  <si>
    <t>Aeberli</t>
  </si>
  <si>
    <t>20/03</t>
  </si>
  <si>
    <t>Wiederkehr (Baumann)</t>
  </si>
  <si>
    <t>Kristina</t>
  </si>
  <si>
    <t>Annina</t>
  </si>
  <si>
    <t>DRIT00449</t>
  </si>
  <si>
    <t>DRIT00451</t>
  </si>
  <si>
    <t>DRIT00442</t>
  </si>
  <si>
    <t>DRIT00446</t>
  </si>
  <si>
    <t>DRIT00455</t>
  </si>
  <si>
    <t>DRIT00462</t>
  </si>
  <si>
    <t>Drs. Simic/Christen/Dallfior</t>
  </si>
  <si>
    <t>Dr. Markus Frey</t>
  </si>
  <si>
    <t>Christoph</t>
  </si>
  <si>
    <t>Dr. Rennhard</t>
  </si>
  <si>
    <t>2024</t>
  </si>
  <si>
    <t>Bemerkungen</t>
  </si>
  <si>
    <t>Januar</t>
  </si>
  <si>
    <t>Februar</t>
  </si>
  <si>
    <t>März</t>
  </si>
  <si>
    <t>April</t>
  </si>
  <si>
    <t>Juni</t>
  </si>
  <si>
    <t>Juli</t>
  </si>
  <si>
    <t>August</t>
  </si>
  <si>
    <t>September</t>
  </si>
  <si>
    <t>Oktober</t>
  </si>
  <si>
    <t>November</t>
  </si>
  <si>
    <t>Dezember</t>
  </si>
  <si>
    <t>Bütikofer</t>
  </si>
  <si>
    <t>Naduvathumuriyil Adathala</t>
  </si>
  <si>
    <t>Alsha</t>
  </si>
  <si>
    <t>Kinderarztpraxis Nautilus</t>
  </si>
  <si>
    <t>Klass</t>
  </si>
  <si>
    <t>ARUD</t>
  </si>
  <si>
    <t>Innenauftrag</t>
  </si>
  <si>
    <t>FULPHAM001</t>
  </si>
  <si>
    <t>GD Admin</t>
  </si>
  <si>
    <t>FULPHAM002</t>
  </si>
  <si>
    <t>FULPHAM003</t>
  </si>
  <si>
    <t>FULL00001</t>
  </si>
  <si>
    <t>HAM Klinik</t>
  </si>
  <si>
    <t>Hitz</t>
  </si>
  <si>
    <t>Jonas</t>
  </si>
  <si>
    <t>Dr. Schorr</t>
  </si>
  <si>
    <t>19 / AS01</t>
  </si>
  <si>
    <t>DRIT00482</t>
  </si>
  <si>
    <t>DRIT00478</t>
  </si>
  <si>
    <t>DRIT00479</t>
  </si>
  <si>
    <t>Wild</t>
  </si>
  <si>
    <t>Matthias</t>
  </si>
  <si>
    <t>Dr. Wespi Frübeli</t>
  </si>
  <si>
    <t>Brand</t>
  </si>
  <si>
    <t>Maureen</t>
  </si>
  <si>
    <t>Kinderpraxis Uster Dr. Stücheli</t>
  </si>
  <si>
    <t>Vogler</t>
  </si>
  <si>
    <t>Franziska</t>
  </si>
  <si>
    <t>20/2</t>
  </si>
  <si>
    <t>Dr. R. Capaul</t>
  </si>
  <si>
    <t>23/17</t>
  </si>
  <si>
    <t>Andreea</t>
  </si>
  <si>
    <t>Funke</t>
  </si>
  <si>
    <t>Dr. Renate Albrecht</t>
  </si>
  <si>
    <t>DRIT00493</t>
  </si>
  <si>
    <t>DRIT00495</t>
  </si>
  <si>
    <t>Burch</t>
  </si>
  <si>
    <t>14/20</t>
  </si>
  <si>
    <t>Beckel</t>
  </si>
  <si>
    <t>Viktoria</t>
  </si>
  <si>
    <t>Kölmel</t>
  </si>
  <si>
    <t>Sebastian</t>
  </si>
  <si>
    <t>Gujer</t>
  </si>
  <si>
    <t>Esther</t>
  </si>
  <si>
    <t>Drs. Thomann/Geiser</t>
  </si>
  <si>
    <t>Christes</t>
  </si>
  <si>
    <t>Elina</t>
  </si>
  <si>
    <t>Praxis Friesenberg, Drs. Peter Sutter, Ch. Seer</t>
  </si>
  <si>
    <t>Dr. B. Stutz, S. Langenegger</t>
  </si>
  <si>
    <t>Dr. A. Glarner</t>
  </si>
  <si>
    <t>Harder</t>
  </si>
  <si>
    <t>Noemi</t>
  </si>
  <si>
    <t>Dr. Baumgardt, Flora</t>
  </si>
  <si>
    <t>Dr. Orban</t>
  </si>
  <si>
    <t>Dr. A. Violi</t>
  </si>
  <si>
    <t>Dr. Thomann/Dr. Geiser</t>
  </si>
  <si>
    <t>DRIT00445</t>
  </si>
  <si>
    <t>Dr. M. Bagattini</t>
  </si>
  <si>
    <t>DRIT00504</t>
  </si>
  <si>
    <t>DRIT00503</t>
  </si>
  <si>
    <t>DRIT00502</t>
  </si>
  <si>
    <t>DRIT00501</t>
  </si>
  <si>
    <t>Opala</t>
  </si>
  <si>
    <t>Dr. E. Breidenstein</t>
  </si>
  <si>
    <t>Isler</t>
  </si>
  <si>
    <t>Marlis</t>
  </si>
  <si>
    <t>Drs. Curcio/Balbina</t>
  </si>
  <si>
    <t>20/3</t>
  </si>
  <si>
    <t>Dominika</t>
  </si>
  <si>
    <t>Agnes</t>
  </si>
  <si>
    <t>DRIT00512</t>
  </si>
  <si>
    <t>DRIT00513</t>
  </si>
  <si>
    <t>DRIT00516</t>
  </si>
  <si>
    <t>DRIT04518</t>
  </si>
  <si>
    <t>DRIT00515</t>
  </si>
  <si>
    <t>20/01</t>
  </si>
  <si>
    <t>20/06</t>
  </si>
  <si>
    <t>Pick</t>
  </si>
  <si>
    <t>Milena</t>
  </si>
  <si>
    <t>20/04</t>
  </si>
  <si>
    <t>Müller</t>
  </si>
  <si>
    <t>Carmen</t>
  </si>
  <si>
    <t>Dr. B. Jean-Richard</t>
  </si>
  <si>
    <t>Dr. A. Steinegger</t>
  </si>
  <si>
    <t>Zügel</t>
  </si>
  <si>
    <t>Stefanie</t>
  </si>
  <si>
    <t xml:space="preserve">Zügel </t>
  </si>
  <si>
    <t>Meoli</t>
  </si>
  <si>
    <t>Kunz</t>
  </si>
  <si>
    <t>Carina</t>
  </si>
  <si>
    <t>Dr. C. Chmiel</t>
  </si>
  <si>
    <t>Diggelmann-Gross</t>
  </si>
  <si>
    <t>Elvira</t>
  </si>
  <si>
    <t>Dr. Stephanie Stücheli</t>
  </si>
  <si>
    <t>Spreiter</t>
  </si>
  <si>
    <t>Vivienne</t>
  </si>
  <si>
    <t>20/02</t>
  </si>
  <si>
    <t>19/01</t>
  </si>
  <si>
    <t>Butscheid</t>
  </si>
  <si>
    <t>Yulia</t>
  </si>
  <si>
    <t>Drs. F. Huber/P. Lang</t>
  </si>
  <si>
    <t>Schmidt</t>
  </si>
  <si>
    <t>Alice</t>
  </si>
  <si>
    <t>Dr. M. Morf</t>
  </si>
  <si>
    <t>Abedini</t>
  </si>
  <si>
    <t>Yasemin</t>
  </si>
  <si>
    <t>Schürmann</t>
  </si>
  <si>
    <t>Manuel</t>
  </si>
  <si>
    <t>325352</t>
  </si>
  <si>
    <t>Meyle</t>
  </si>
  <si>
    <t>345028</t>
  </si>
  <si>
    <t>Blana</t>
  </si>
  <si>
    <t>Evangelia</t>
  </si>
  <si>
    <t>Botusanu</t>
  </si>
  <si>
    <t>Valentin</t>
  </si>
  <si>
    <t>Dipl. Ärztin Sirje Rägo</t>
  </si>
  <si>
    <t>Dr. Ioannou</t>
  </si>
  <si>
    <t>21 / 4</t>
  </si>
  <si>
    <t>Wilhelm</t>
  </si>
  <si>
    <t>Dr. B. Dinkel / H. Gräber</t>
  </si>
  <si>
    <t>19 / 01</t>
  </si>
  <si>
    <t>Güttinger</t>
  </si>
  <si>
    <t>Dr. P. Simic</t>
  </si>
  <si>
    <t>Renz</t>
  </si>
  <si>
    <t>Laura</t>
  </si>
  <si>
    <t>Dr. R. Neidhardt</t>
  </si>
  <si>
    <t>Poffet</t>
  </si>
  <si>
    <t>Patrick</t>
  </si>
  <si>
    <t>Plüss</t>
  </si>
  <si>
    <t>Felizitas</t>
  </si>
  <si>
    <t>Eva</t>
  </si>
  <si>
    <t>Gutmann</t>
  </si>
  <si>
    <t>Fanny</t>
  </si>
  <si>
    <t>Dr. B. Dinkel</t>
  </si>
  <si>
    <t>Maibach</t>
  </si>
  <si>
    <t>Hegnauer</t>
  </si>
  <si>
    <t>Amina</t>
  </si>
  <si>
    <t>Dr. M. Siegrist</t>
  </si>
  <si>
    <t>Pinto</t>
  </si>
  <si>
    <t>Dr. A. Ostant</t>
  </si>
  <si>
    <t>Biedermann</t>
  </si>
  <si>
    <t>Dr. M. Frey</t>
  </si>
  <si>
    <t>31.11.2024</t>
  </si>
  <si>
    <t>NN</t>
  </si>
  <si>
    <t>330695</t>
  </si>
  <si>
    <t>321379</t>
  </si>
  <si>
    <t>364217</t>
  </si>
  <si>
    <t>318535</t>
  </si>
  <si>
    <t>352237</t>
  </si>
  <si>
    <t>333732</t>
  </si>
  <si>
    <t>365124</t>
  </si>
  <si>
    <t>332322</t>
  </si>
  <si>
    <t>318337</t>
  </si>
  <si>
    <t>303015</t>
  </si>
  <si>
    <t>332656</t>
  </si>
  <si>
    <t>344053</t>
  </si>
  <si>
    <t>365715</t>
  </si>
  <si>
    <t>Dr. R. Jost Schneider</t>
  </si>
  <si>
    <t>Sahli</t>
  </si>
  <si>
    <t>Luca</t>
  </si>
  <si>
    <t>Sandro Speck</t>
  </si>
  <si>
    <t>Acamed Dübendorf</t>
  </si>
  <si>
    <t>20 / 01</t>
  </si>
  <si>
    <t>20/ 01</t>
  </si>
  <si>
    <t>Reichert</t>
  </si>
  <si>
    <t>Julian</t>
  </si>
  <si>
    <t>Dr. The Phuoc Truong</t>
  </si>
  <si>
    <t>Dr. Widmer, Erlenbach</t>
  </si>
  <si>
    <t>Platzhalter</t>
  </si>
  <si>
    <t>Schiesser</t>
  </si>
  <si>
    <t>Sarah</t>
  </si>
  <si>
    <t>Dr. Maschio Andrist</t>
  </si>
  <si>
    <t>Salvisberg</t>
  </si>
  <si>
    <t>Christian</t>
  </si>
  <si>
    <t>Michael Stamm</t>
  </si>
  <si>
    <t>Philipp</t>
  </si>
  <si>
    <t>Dr. P. Rosegger</t>
  </si>
  <si>
    <t>Kant</t>
  </si>
  <si>
    <t>Tessa</t>
  </si>
  <si>
    <t>Name</t>
  </si>
  <si>
    <t>Fachrichtung</t>
  </si>
  <si>
    <t>Start</t>
  </si>
  <si>
    <t>Meldedatum</t>
  </si>
  <si>
    <t>Michel</t>
  </si>
  <si>
    <t xml:space="preserve"> vorzeitig gekündigt (1 Monat)</t>
  </si>
  <si>
    <t>Schmidlin</t>
  </si>
  <si>
    <t>Adrian</t>
  </si>
  <si>
    <t>Dr. Eilika Peter</t>
  </si>
  <si>
    <t>DRIT00528</t>
  </si>
  <si>
    <t>DRIT00514</t>
  </si>
  <si>
    <t>DRIT00529</t>
  </si>
  <si>
    <t>DRIT00530</t>
  </si>
  <si>
    <t>DRIT00538</t>
  </si>
  <si>
    <t>DRIT00535</t>
  </si>
  <si>
    <t>DRIT00531</t>
  </si>
  <si>
    <t>DRIT00536</t>
  </si>
  <si>
    <t>DRIT00534</t>
  </si>
  <si>
    <t>DRIT00537</t>
  </si>
  <si>
    <t>DRIT00532</t>
  </si>
  <si>
    <t>20/5</t>
  </si>
  <si>
    <t>2025</t>
  </si>
  <si>
    <t>Wespi</t>
  </si>
  <si>
    <t>Nadia</t>
  </si>
  <si>
    <t>Dr. Neidhardt</t>
  </si>
  <si>
    <t>Kinder- und Jugenmedizin</t>
  </si>
  <si>
    <t>Ghisla</t>
  </si>
  <si>
    <t>Virginia</t>
  </si>
  <si>
    <t>Dr. Anne Brausch</t>
  </si>
  <si>
    <t>Dr. Michael Bagattini</t>
  </si>
  <si>
    <t>Nastasel</t>
  </si>
  <si>
    <t>Valentina</t>
  </si>
  <si>
    <t>50</t>
  </si>
  <si>
    <t>Sortierkriterium
GD Admin
Klinik
PA
PA Päd</t>
  </si>
  <si>
    <t>333680</t>
  </si>
  <si>
    <t>Derma</t>
  </si>
  <si>
    <t>2026</t>
  </si>
  <si>
    <t>???: Derma</t>
  </si>
  <si>
    <t>Drs. Kuster/Dimitropoulos</t>
  </si>
  <si>
    <t>DRIT00543</t>
  </si>
  <si>
    <t>DRIT00544</t>
  </si>
  <si>
    <t>Innenauftragsnummern</t>
  </si>
  <si>
    <t>DRIT00517</t>
  </si>
  <si>
    <t>20/05</t>
  </si>
  <si>
    <t>DRIT00545</t>
  </si>
  <si>
    <t>DRIT00547</t>
  </si>
  <si>
    <t>DRIT00548</t>
  </si>
  <si>
    <t>DRIT00549</t>
  </si>
  <si>
    <t>DRIT00550</t>
  </si>
  <si>
    <t>DRIT00551</t>
  </si>
  <si>
    <t>DRIT00552</t>
  </si>
  <si>
    <t>DRIT00553</t>
  </si>
  <si>
    <t>DRIT00554</t>
  </si>
  <si>
    <t>DRIT00555</t>
  </si>
  <si>
    <t>DRIT00556</t>
  </si>
  <si>
    <t>DRIT00557</t>
  </si>
  <si>
    <t>Külling</t>
  </si>
  <si>
    <t>Mischa</t>
  </si>
  <si>
    <t>Dr. F. Huber</t>
  </si>
  <si>
    <t>Sosnierz</t>
  </si>
  <si>
    <t>Dr. Rostetter</t>
  </si>
  <si>
    <t>Thill</t>
  </si>
  <si>
    <t>Anouk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</si>
</sst>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6" x14ac:knownFonts="1"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9"/>
      <color rgb="FF0070C0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i/>
      <sz val="10"/>
      <color theme="1"/>
      <name val="Arial"/>
      <family val="2"/>
    </font>
    <font>
      <b/>
      <sz val="9"/>
      <name val="Arial"/>
      <family val="2"/>
    </font>
    <font>
      <sz val="9"/>
      <color rgb="FF92D050"/>
      <name val="Arial"/>
      <family val="2"/>
    </font>
    <font>
      <sz val="9"/>
      <color indexed="8"/>
      <name val="Arial"/>
      <family val="2"/>
    </font>
    <font>
      <b/>
      <sz val="9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0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" fontId="9" fillId="10" borderId="3" applyNumberFormat="0" applyProtection="0">
      <alignment horizontal="left" vertical="center" indent="1"/>
    </xf>
  </cellStyleXfs>
  <cellXfs count="228">
    <xf numFmtId="0" fontId="0" fillId="0" borderId="0" xfId="0"/>
    <xf numFmtId="0" fontId="5" fillId="0" borderId="0" xfId="0" applyFont="1"/>
    <xf numFmtId="0" fontId="1" fillId="0" borderId="0" xfId="0" applyFont="1" applyAlignment="1">
      <alignment horizontal="right" vertical="top"/>
    </xf>
    <xf numFmtId="0" fontId="3" fillId="0" borderId="1" xfId="0" applyFont="1" applyBorder="1"/>
    <xf numFmtId="0" fontId="4" fillId="0" borderId="1" xfId="0" applyFont="1" applyBorder="1"/>
    <xf numFmtId="0" fontId="4" fillId="0" borderId="0" xfId="0" applyFont="1" applyBorder="1"/>
    <xf numFmtId="49" fontId="0" fillId="0" borderId="0" xfId="0" applyNumberFormat="1"/>
    <xf numFmtId="4" fontId="0" fillId="0" borderId="0" xfId="0" applyNumberFormat="1"/>
    <xf numFmtId="49" fontId="3" fillId="0" borderId="2" xfId="0" applyNumberFormat="1" applyFont="1" applyBorder="1"/>
    <xf numFmtId="14" fontId="3" fillId="0" borderId="2" xfId="0" applyNumberFormat="1" applyFont="1" applyBorder="1" applyAlignment="1">
      <alignment horizontal="center"/>
    </xf>
    <xf numFmtId="4" fontId="3" fillId="0" borderId="2" xfId="0" applyNumberFormat="1" applyFont="1" applyBorder="1"/>
    <xf numFmtId="49" fontId="3" fillId="0" borderId="2" xfId="0" applyNumberFormat="1" applyFont="1" applyBorder="1" applyAlignment="1">
      <alignment horizontal="left"/>
    </xf>
    <xf numFmtId="4" fontId="0" fillId="0" borderId="0" xfId="0" applyNumberFormat="1" applyFill="1" applyAlignment="1">
      <alignment horizontal="left"/>
    </xf>
    <xf numFmtId="0" fontId="3" fillId="0" borderId="2" xfId="0" applyFont="1" applyBorder="1"/>
    <xf numFmtId="4" fontId="3" fillId="0" borderId="2" xfId="0" applyNumberFormat="1" applyFont="1" applyFill="1" applyBorder="1" applyAlignment="1">
      <alignment horizontal="left"/>
    </xf>
    <xf numFmtId="164" fontId="3" fillId="0" borderId="2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right"/>
    </xf>
    <xf numFmtId="49" fontId="0" fillId="0" borderId="0" xfId="0" applyNumberFormat="1" applyAlignment="1">
      <alignment horizontal="right"/>
    </xf>
    <xf numFmtId="1" fontId="6" fillId="0" borderId="0" xfId="0" applyNumberFormat="1" applyFont="1"/>
    <xf numFmtId="4" fontId="5" fillId="0" borderId="0" xfId="0" applyNumberFormat="1" applyFont="1"/>
    <xf numFmtId="49" fontId="2" fillId="0" borderId="2" xfId="0" applyNumberFormat="1" applyFont="1" applyBorder="1"/>
    <xf numFmtId="0" fontId="3" fillId="0" borderId="0" xfId="0" applyFont="1" applyBorder="1"/>
    <xf numFmtId="2" fontId="3" fillId="0" borderId="2" xfId="0" applyNumberFormat="1" applyFont="1" applyBorder="1" applyAlignment="1">
      <alignment horizontal="right"/>
    </xf>
    <xf numFmtId="0" fontId="0" fillId="0" borderId="0" xfId="0" applyFont="1" applyFill="1" applyBorder="1"/>
    <xf numFmtId="4" fontId="6" fillId="0" borderId="0" xfId="0" applyNumberFormat="1" applyFont="1" applyFill="1" applyBorder="1"/>
    <xf numFmtId="4" fontId="5" fillId="0" borderId="0" xfId="0" applyNumberFormat="1" applyFont="1" applyFill="1" applyBorder="1"/>
    <xf numFmtId="1" fontId="6" fillId="0" borderId="0" xfId="0" applyNumberFormat="1" applyFont="1" applyFill="1" applyBorder="1"/>
    <xf numFmtId="49" fontId="5" fillId="0" borderId="0" xfId="0" applyNumberFormat="1" applyFont="1"/>
    <xf numFmtId="0" fontId="5" fillId="2" borderId="5" xfId="0" applyFont="1" applyFill="1" applyBorder="1"/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0" fontId="5" fillId="0" borderId="10" xfId="0" applyFont="1" applyBorder="1"/>
    <xf numFmtId="0" fontId="5" fillId="0" borderId="10" xfId="0" applyFont="1" applyBorder="1" applyAlignment="1">
      <alignment horizontal="right"/>
    </xf>
    <xf numFmtId="1" fontId="5" fillId="0" borderId="0" xfId="0" applyNumberFormat="1" applyFont="1"/>
    <xf numFmtId="4" fontId="11" fillId="0" borderId="0" xfId="0" applyNumberFormat="1" applyFont="1" applyFill="1" applyBorder="1"/>
    <xf numFmtId="4" fontId="8" fillId="2" borderId="6" xfId="0" applyNumberFormat="1" applyFont="1" applyFill="1" applyBorder="1" applyAlignment="1">
      <alignment horizontal="right" wrapText="1"/>
    </xf>
    <xf numFmtId="0" fontId="10" fillId="2" borderId="4" xfId="0" applyFont="1" applyFill="1" applyBorder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3" fontId="5" fillId="0" borderId="0" xfId="0" applyNumberFormat="1" applyFont="1"/>
    <xf numFmtId="2" fontId="5" fillId="0" borderId="0" xfId="0" applyNumberFormat="1" applyFont="1"/>
    <xf numFmtId="49" fontId="0" fillId="9" borderId="0" xfId="0" applyNumberFormat="1" applyFill="1" applyAlignment="1">
      <alignment horizontal="right"/>
    </xf>
    <xf numFmtId="49" fontId="5" fillId="9" borderId="7" xfId="0" applyNumberFormat="1" applyFont="1" applyFill="1" applyBorder="1"/>
    <xf numFmtId="0" fontId="5" fillId="9" borderId="0" xfId="0" applyFont="1" applyFill="1"/>
    <xf numFmtId="49" fontId="0" fillId="9" borderId="0" xfId="0" applyNumberFormat="1" applyFill="1"/>
    <xf numFmtId="0" fontId="10" fillId="9" borderId="4" xfId="0" applyFont="1" applyFill="1" applyBorder="1"/>
    <xf numFmtId="0" fontId="10" fillId="9" borderId="5" xfId="0" applyFont="1" applyFill="1" applyBorder="1"/>
    <xf numFmtId="0" fontId="10" fillId="9" borderId="12" xfId="0" applyFont="1" applyFill="1" applyBorder="1"/>
    <xf numFmtId="3" fontId="5" fillId="9" borderId="9" xfId="0" applyNumberFormat="1" applyFont="1" applyFill="1" applyBorder="1" applyAlignment="1">
      <alignment horizontal="left"/>
    </xf>
    <xf numFmtId="3" fontId="5" fillId="9" borderId="10" xfId="0" applyNumberFormat="1" applyFont="1" applyFill="1" applyBorder="1" applyAlignment="1">
      <alignment horizontal="left"/>
    </xf>
    <xf numFmtId="3" fontId="5" fillId="9" borderId="13" xfId="0" applyNumberFormat="1" applyFont="1" applyFill="1" applyBorder="1" applyAlignment="1">
      <alignment horizontal="left"/>
    </xf>
    <xf numFmtId="4" fontId="5" fillId="9" borderId="7" xfId="0" applyNumberFormat="1" applyFont="1" applyFill="1" applyBorder="1" applyAlignment="1">
      <alignment horizontal="left"/>
    </xf>
    <xf numFmtId="1" fontId="10" fillId="9" borderId="5" xfId="0" applyNumberFormat="1" applyFont="1" applyFill="1" applyBorder="1" applyAlignment="1">
      <alignment horizontal="right"/>
    </xf>
    <xf numFmtId="0" fontId="8" fillId="9" borderId="5" xfId="0" applyFont="1" applyFill="1" applyBorder="1" applyAlignment="1">
      <alignment horizontal="right"/>
    </xf>
    <xf numFmtId="0" fontId="8" fillId="9" borderId="6" xfId="0" applyFont="1" applyFill="1" applyBorder="1" applyAlignment="1">
      <alignment horizontal="right"/>
    </xf>
    <xf numFmtId="4" fontId="8" fillId="9" borderId="0" xfId="0" applyNumberFormat="1" applyFont="1" applyFill="1" applyAlignment="1">
      <alignment horizontal="right"/>
    </xf>
    <xf numFmtId="0" fontId="0" fillId="9" borderId="0" xfId="0" applyFont="1" applyFill="1" applyBorder="1" applyAlignment="1">
      <alignment horizontal="right"/>
    </xf>
    <xf numFmtId="3" fontId="0" fillId="9" borderId="0" xfId="0" applyNumberFormat="1" applyFont="1" applyFill="1" applyBorder="1"/>
    <xf numFmtId="3" fontId="0" fillId="9" borderId="8" xfId="0" applyNumberFormat="1" applyFill="1" applyBorder="1"/>
    <xf numFmtId="4" fontId="0" fillId="9" borderId="0" xfId="0" applyNumberFormat="1" applyFill="1"/>
    <xf numFmtId="4" fontId="5" fillId="9" borderId="10" xfId="0" applyNumberFormat="1" applyFont="1" applyFill="1" applyBorder="1" applyAlignment="1">
      <alignment horizontal="right"/>
    </xf>
    <xf numFmtId="3" fontId="0" fillId="9" borderId="10" xfId="0" applyNumberFormat="1" applyFont="1" applyFill="1" applyBorder="1"/>
    <xf numFmtId="3" fontId="0" fillId="9" borderId="11" xfId="0" applyNumberFormat="1" applyFill="1" applyBorder="1"/>
    <xf numFmtId="0" fontId="0" fillId="9" borderId="0" xfId="0" applyFill="1"/>
    <xf numFmtId="4" fontId="8" fillId="0" borderId="0" xfId="0" applyNumberFormat="1" applyFont="1" applyBorder="1"/>
    <xf numFmtId="4" fontId="0" fillId="0" borderId="0" xfId="0" applyNumberFormat="1" applyBorder="1"/>
    <xf numFmtId="0" fontId="0" fillId="12" borderId="0" xfId="0" applyFill="1"/>
    <xf numFmtId="4" fontId="3" fillId="5" borderId="2" xfId="0" applyNumberFormat="1" applyFont="1" applyFill="1" applyBorder="1"/>
    <xf numFmtId="2" fontId="5" fillId="2" borderId="5" xfId="0" applyNumberFormat="1" applyFont="1" applyFill="1" applyBorder="1"/>
    <xf numFmtId="2" fontId="5" fillId="0" borderId="0" xfId="0" applyNumberFormat="1" applyFont="1" applyBorder="1"/>
    <xf numFmtId="2" fontId="5" fillId="0" borderId="10" xfId="0" applyNumberFormat="1" applyFont="1" applyBorder="1"/>
    <xf numFmtId="2" fontId="0" fillId="9" borderId="4" xfId="0" applyNumberFormat="1" applyFill="1" applyBorder="1"/>
    <xf numFmtId="2" fontId="5" fillId="9" borderId="7" xfId="0" applyNumberFormat="1" applyFont="1" applyFill="1" applyBorder="1"/>
    <xf numFmtId="2" fontId="0" fillId="9" borderId="0" xfId="0" applyNumberFormat="1" applyFill="1"/>
    <xf numFmtId="2" fontId="3" fillId="0" borderId="2" xfId="0" applyNumberFormat="1" applyFont="1" applyBorder="1"/>
    <xf numFmtId="4" fontId="5" fillId="9" borderId="0" xfId="0" applyNumberFormat="1" applyFont="1" applyFill="1" applyAlignment="1">
      <alignment horizontal="left"/>
    </xf>
    <xf numFmtId="4" fontId="3" fillId="0" borderId="1" xfId="0" applyNumberFormat="1" applyFont="1" applyBorder="1"/>
    <xf numFmtId="0" fontId="10" fillId="0" borderId="7" xfId="0" applyFont="1" applyFill="1" applyBorder="1" applyAlignment="1">
      <alignment vertical="top"/>
    </xf>
    <xf numFmtId="0" fontId="5" fillId="0" borderId="0" xfId="0" applyFont="1" applyFill="1" applyBorder="1"/>
    <xf numFmtId="2" fontId="5" fillId="0" borderId="0" xfId="0" applyNumberFormat="1" applyFont="1" applyFill="1" applyBorder="1"/>
    <xf numFmtId="4" fontId="8" fillId="0" borderId="8" xfId="0" applyNumberFormat="1" applyFont="1" applyFill="1" applyBorder="1" applyAlignment="1">
      <alignment horizontal="right" wrapText="1"/>
    </xf>
    <xf numFmtId="0" fontId="10" fillId="0" borderId="7" xfId="0" applyFont="1" applyBorder="1"/>
    <xf numFmtId="1" fontId="5" fillId="9" borderId="9" xfId="0" applyNumberFormat="1" applyFont="1" applyFill="1" applyBorder="1" applyAlignment="1">
      <alignment horizontal="left"/>
    </xf>
    <xf numFmtId="0" fontId="10" fillId="0" borderId="0" xfId="0" applyFont="1" applyBorder="1"/>
    <xf numFmtId="4" fontId="3" fillId="11" borderId="1" xfId="0" applyNumberFormat="1" applyFont="1" applyFill="1" applyBorder="1"/>
    <xf numFmtId="0" fontId="3" fillId="11" borderId="1" xfId="0" applyFont="1" applyFill="1" applyBorder="1"/>
    <xf numFmtId="0" fontId="4" fillId="11" borderId="1" xfId="0" applyFont="1" applyFill="1" applyBorder="1"/>
    <xf numFmtId="0" fontId="3" fillId="0" borderId="0" xfId="0" applyFont="1" applyFill="1"/>
    <xf numFmtId="4" fontId="3" fillId="0" borderId="0" xfId="0" applyNumberFormat="1" applyFont="1" applyFill="1"/>
    <xf numFmtId="1" fontId="3" fillId="0" borderId="2" xfId="0" applyNumberFormat="1" applyFont="1" applyBorder="1"/>
    <xf numFmtId="0" fontId="3" fillId="0" borderId="0" xfId="0" applyFont="1"/>
    <xf numFmtId="4" fontId="3" fillId="0" borderId="2" xfId="0" applyNumberFormat="1" applyFont="1" applyFill="1" applyBorder="1"/>
    <xf numFmtId="49" fontId="2" fillId="0" borderId="2" xfId="0" applyNumberFormat="1" applyFont="1" applyBorder="1" applyAlignment="1">
      <alignment horizontal="right"/>
    </xf>
    <xf numFmtId="4" fontId="2" fillId="5" borderId="2" xfId="0" applyNumberFormat="1" applyFont="1" applyFill="1" applyBorder="1"/>
    <xf numFmtId="4" fontId="2" fillId="0" borderId="2" xfId="0" applyNumberFormat="1" applyFont="1" applyFill="1" applyBorder="1" applyAlignment="1">
      <alignment horizontal="left"/>
    </xf>
    <xf numFmtId="0" fontId="2" fillId="0" borderId="0" xfId="0" applyFont="1"/>
    <xf numFmtId="0" fontId="3" fillId="0" borderId="1" xfId="0" applyFont="1" applyFill="1" applyBorder="1"/>
    <xf numFmtId="0" fontId="5" fillId="5" borderId="0" xfId="0" applyFont="1" applyFill="1" applyProtection="1">
      <protection locked="0"/>
    </xf>
    <xf numFmtId="1" fontId="5" fillId="5" borderId="0" xfId="0" applyNumberFormat="1" applyFont="1" applyFill="1" applyProtection="1">
      <protection locked="0"/>
    </xf>
    <xf numFmtId="49" fontId="0" fillId="5" borderId="0" xfId="0" applyNumberFormat="1" applyFill="1" applyProtection="1">
      <protection locked="0"/>
    </xf>
    <xf numFmtId="0" fontId="10" fillId="5" borderId="0" xfId="0" applyFont="1" applyFill="1" applyProtection="1">
      <protection locked="0"/>
    </xf>
    <xf numFmtId="49" fontId="0" fillId="5" borderId="0" xfId="0" applyNumberFormat="1" applyFill="1" applyAlignment="1" applyProtection="1">
      <alignment horizontal="right"/>
      <protection locked="0"/>
    </xf>
    <xf numFmtId="49" fontId="5" fillId="5" borderId="0" xfId="0" applyNumberFormat="1" applyFont="1" applyFill="1" applyProtection="1">
      <protection locked="0"/>
    </xf>
    <xf numFmtId="2" fontId="5" fillId="5" borderId="0" xfId="0" applyNumberFormat="1" applyFont="1" applyFill="1" applyProtection="1">
      <protection locked="0"/>
    </xf>
    <xf numFmtId="4" fontId="0" fillId="5" borderId="0" xfId="0" applyNumberFormat="1" applyFill="1" applyProtection="1">
      <protection locked="0"/>
    </xf>
    <xf numFmtId="4" fontId="0" fillId="5" borderId="0" xfId="0" applyNumberFormat="1" applyFill="1" applyAlignment="1" applyProtection="1">
      <alignment horizontal="left"/>
      <protection locked="0"/>
    </xf>
    <xf numFmtId="0" fontId="0" fillId="5" borderId="0" xfId="0" applyFill="1" applyProtection="1">
      <protection locked="0"/>
    </xf>
    <xf numFmtId="0" fontId="0" fillId="0" borderId="0" xfId="0" applyProtection="1">
      <protection locked="0"/>
    </xf>
    <xf numFmtId="49" fontId="12" fillId="8" borderId="2" xfId="0" applyNumberFormat="1" applyFont="1" applyFill="1" applyBorder="1" applyAlignment="1" applyProtection="1">
      <alignment horizontal="left" vertical="top"/>
      <protection locked="0"/>
    </xf>
    <xf numFmtId="1" fontId="12" fillId="8" borderId="2" xfId="0" applyNumberFormat="1" applyFont="1" applyFill="1" applyBorder="1" applyAlignment="1" applyProtection="1">
      <alignment horizontal="left" vertical="top" wrapText="1"/>
      <protection locked="0"/>
    </xf>
    <xf numFmtId="49" fontId="1" fillId="8" borderId="2" xfId="0" applyNumberFormat="1" applyFont="1" applyFill="1" applyBorder="1" applyAlignment="1" applyProtection="1">
      <alignment horizontal="left" vertical="top"/>
      <protection locked="0"/>
    </xf>
    <xf numFmtId="49" fontId="12" fillId="7" borderId="2" xfId="0" applyNumberFormat="1" applyFont="1" applyFill="1" applyBorder="1" applyAlignment="1" applyProtection="1">
      <alignment horizontal="left" vertical="top"/>
      <protection locked="0"/>
    </xf>
    <xf numFmtId="49" fontId="1" fillId="7" borderId="2" xfId="0" applyNumberFormat="1" applyFont="1" applyFill="1" applyBorder="1" applyAlignment="1" applyProtection="1">
      <alignment horizontal="left" vertical="top"/>
      <protection locked="0"/>
    </xf>
    <xf numFmtId="49" fontId="1" fillId="7" borderId="2" xfId="0" applyNumberFormat="1" applyFont="1" applyFill="1" applyBorder="1" applyAlignment="1" applyProtection="1">
      <alignment horizontal="right" vertical="top"/>
      <protection locked="0"/>
    </xf>
    <xf numFmtId="49" fontId="12" fillId="8" borderId="2" xfId="0" applyNumberFormat="1" applyFont="1" applyFill="1" applyBorder="1" applyAlignment="1" applyProtection="1">
      <alignment horizontal="left" vertical="top" wrapText="1"/>
      <protection locked="0"/>
    </xf>
    <xf numFmtId="49" fontId="12" fillId="7" borderId="2" xfId="0" applyNumberFormat="1" applyFont="1" applyFill="1" applyBorder="1" applyAlignment="1" applyProtection="1">
      <alignment horizontal="left" vertical="top" wrapText="1"/>
      <protection locked="0"/>
    </xf>
    <xf numFmtId="0" fontId="12" fillId="8" borderId="2" xfId="0" applyFont="1" applyFill="1" applyBorder="1" applyAlignment="1" applyProtection="1">
      <alignment horizontal="left" vertical="top" wrapText="1"/>
      <protection locked="0"/>
    </xf>
    <xf numFmtId="49" fontId="12" fillId="7" borderId="2" xfId="0" applyNumberFormat="1" applyFont="1" applyFill="1" applyBorder="1" applyAlignment="1" applyProtection="1">
      <alignment horizontal="right" vertical="top"/>
      <protection locked="0"/>
    </xf>
    <xf numFmtId="1" fontId="12" fillId="7" borderId="2" xfId="0" applyNumberFormat="1" applyFont="1" applyFill="1" applyBorder="1" applyAlignment="1" applyProtection="1">
      <alignment horizontal="right" vertical="top" wrapText="1"/>
      <protection locked="0"/>
    </xf>
    <xf numFmtId="4" fontId="12" fillId="7" borderId="2" xfId="0" applyNumberFormat="1" applyFont="1" applyFill="1" applyBorder="1" applyAlignment="1" applyProtection="1">
      <alignment horizontal="right" vertical="top" wrapText="1"/>
      <protection locked="0"/>
    </xf>
    <xf numFmtId="14" fontId="12" fillId="7" borderId="2" xfId="0" applyNumberFormat="1" applyFont="1" applyFill="1" applyBorder="1" applyAlignment="1" applyProtection="1">
      <alignment horizontal="right" vertical="top" wrapText="1"/>
      <protection locked="0"/>
    </xf>
    <xf numFmtId="2" fontId="12" fillId="7" borderId="2" xfId="0" applyNumberFormat="1" applyFont="1" applyFill="1" applyBorder="1" applyAlignment="1" applyProtection="1">
      <alignment horizontal="right" vertical="top" wrapText="1"/>
      <protection locked="0"/>
    </xf>
    <xf numFmtId="4" fontId="1" fillId="7" borderId="2" xfId="0" applyNumberFormat="1" applyFont="1" applyFill="1" applyBorder="1" applyAlignment="1" applyProtection="1">
      <alignment horizontal="right" vertical="top" wrapText="1"/>
      <protection locked="0"/>
    </xf>
    <xf numFmtId="4" fontId="1" fillId="7" borderId="2" xfId="0" applyNumberFormat="1" applyFont="1" applyFill="1" applyBorder="1" applyAlignment="1" applyProtection="1">
      <alignment horizontal="left" vertical="top" wrapText="1"/>
      <protection locked="0"/>
    </xf>
    <xf numFmtId="4" fontId="1" fillId="8" borderId="2" xfId="0" applyNumberFormat="1" applyFont="1" applyFill="1" applyBorder="1" applyAlignment="1" applyProtection="1">
      <alignment horizontal="right" vertical="top" wrapText="1"/>
      <protection locked="0"/>
    </xf>
    <xf numFmtId="49" fontId="3" fillId="0" borderId="2" xfId="0" applyNumberFormat="1" applyFont="1" applyBorder="1" applyProtection="1">
      <protection locked="0"/>
    </xf>
    <xf numFmtId="164" fontId="3" fillId="0" borderId="2" xfId="0" applyNumberFormat="1" applyFont="1" applyBorder="1" applyAlignment="1" applyProtection="1">
      <alignment horizontal="left"/>
      <protection locked="0"/>
    </xf>
    <xf numFmtId="1" fontId="3" fillId="0" borderId="2" xfId="0" applyNumberFormat="1" applyFont="1" applyBorder="1" applyAlignment="1" applyProtection="1">
      <alignment horizontal="right"/>
      <protection locked="0"/>
    </xf>
    <xf numFmtId="49" fontId="3" fillId="0" borderId="2" xfId="0" applyNumberFormat="1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left" vertical="top"/>
      <protection locked="0"/>
    </xf>
    <xf numFmtId="0" fontId="3" fillId="0" borderId="2" xfId="0" applyFont="1" applyBorder="1" applyProtection="1">
      <protection locked="0"/>
    </xf>
    <xf numFmtId="49" fontId="3" fillId="0" borderId="2" xfId="0" applyNumberFormat="1" applyFont="1" applyBorder="1" applyAlignment="1" applyProtection="1">
      <alignment horizontal="right"/>
      <protection locked="0"/>
    </xf>
    <xf numFmtId="4" fontId="3" fillId="0" borderId="2" xfId="0" applyNumberFormat="1" applyFont="1" applyBorder="1" applyAlignment="1" applyProtection="1">
      <alignment horizontal="right"/>
      <protection locked="0"/>
    </xf>
    <xf numFmtId="14" fontId="3" fillId="0" borderId="2" xfId="0" applyNumberFormat="1" applyFont="1" applyBorder="1" applyAlignment="1" applyProtection="1">
      <alignment horizontal="center"/>
      <protection locked="0"/>
    </xf>
    <xf numFmtId="2" fontId="3" fillId="0" borderId="2" xfId="0" applyNumberFormat="1" applyFont="1" applyBorder="1" applyProtection="1">
      <protection locked="0"/>
    </xf>
    <xf numFmtId="4" fontId="3" fillId="0" borderId="2" xfId="0" applyNumberFormat="1" applyFont="1" applyFill="1" applyBorder="1" applyAlignment="1" applyProtection="1">
      <alignment horizontal="left"/>
      <protection locked="0"/>
    </xf>
    <xf numFmtId="4" fontId="3" fillId="0" borderId="2" xfId="0" applyNumberFormat="1" applyFont="1" applyBorder="1" applyProtection="1">
      <protection locked="0"/>
    </xf>
    <xf numFmtId="0" fontId="3" fillId="0" borderId="1" xfId="0" applyFont="1" applyBorder="1" applyProtection="1">
      <protection locked="0"/>
    </xf>
    <xf numFmtId="49" fontId="2" fillId="0" borderId="2" xfId="0" applyNumberFormat="1" applyFont="1" applyBorder="1" applyAlignment="1" applyProtection="1">
      <alignment horizontal="left"/>
      <protection locked="0"/>
    </xf>
    <xf numFmtId="2" fontId="3" fillId="0" borderId="2" xfId="0" applyNumberFormat="1" applyFont="1" applyBorder="1" applyAlignment="1" applyProtection="1">
      <alignment horizontal="right"/>
      <protection locked="0"/>
    </xf>
    <xf numFmtId="49" fontId="2" fillId="0" borderId="2" xfId="0" applyNumberFormat="1" applyFont="1" applyBorder="1" applyProtection="1">
      <protection locked="0"/>
    </xf>
    <xf numFmtId="4" fontId="2" fillId="0" borderId="2" xfId="0" applyNumberFormat="1" applyFont="1" applyBorder="1" applyAlignment="1" applyProtection="1">
      <alignment horizontal="right"/>
      <protection locked="0"/>
    </xf>
    <xf numFmtId="4" fontId="3" fillId="4" borderId="2" xfId="0" applyNumberFormat="1" applyFont="1" applyFill="1" applyBorder="1" applyProtection="1">
      <protection locked="0"/>
    </xf>
    <xf numFmtId="4" fontId="7" fillId="0" borderId="2" xfId="0" applyNumberFormat="1" applyFont="1" applyFill="1" applyBorder="1" applyProtection="1">
      <protection locked="0"/>
    </xf>
    <xf numFmtId="4" fontId="4" fillId="0" borderId="1" xfId="0" applyNumberFormat="1" applyFont="1" applyBorder="1" applyProtection="1">
      <protection locked="0"/>
    </xf>
    <xf numFmtId="4" fontId="4" fillId="0" borderId="0" xfId="0" applyNumberFormat="1" applyFont="1" applyFill="1" applyBorder="1" applyProtection="1">
      <protection locked="0"/>
    </xf>
    <xf numFmtId="0" fontId="4" fillId="11" borderId="1" xfId="0" applyFont="1" applyFill="1" applyBorder="1" applyProtection="1">
      <protection locked="0"/>
    </xf>
    <xf numFmtId="0" fontId="14" fillId="0" borderId="3" xfId="1" quotePrefix="1" applyNumberFormat="1" applyFont="1" applyFill="1" applyAlignment="1" applyProtection="1">
      <protection locked="0"/>
    </xf>
    <xf numFmtId="49" fontId="3" fillId="0" borderId="2" xfId="0" applyNumberFormat="1" applyFont="1" applyFill="1" applyBorder="1" applyAlignment="1" applyProtection="1">
      <alignment horizontal="left"/>
      <protection locked="0"/>
    </xf>
    <xf numFmtId="4" fontId="3" fillId="6" borderId="2" xfId="0" applyNumberFormat="1" applyFont="1" applyFill="1" applyBorder="1" applyProtection="1">
      <protection locked="0"/>
    </xf>
    <xf numFmtId="0" fontId="3" fillId="0" borderId="0" xfId="0" applyFont="1" applyProtection="1">
      <protection locked="0"/>
    </xf>
    <xf numFmtId="4" fontId="3" fillId="14" borderId="2" xfId="0" applyNumberFormat="1" applyFont="1" applyFill="1" applyBorder="1" applyProtection="1">
      <protection locked="0"/>
    </xf>
    <xf numFmtId="0" fontId="3" fillId="0" borderId="3" xfId="1" quotePrefix="1" applyNumberFormat="1" applyFont="1" applyFill="1" applyAlignment="1" applyProtection="1">
      <protection locked="0"/>
    </xf>
    <xf numFmtId="0" fontId="4" fillId="0" borderId="1" xfId="0" applyFont="1" applyBorder="1" applyProtection="1">
      <protection locked="0"/>
    </xf>
    <xf numFmtId="4" fontId="3" fillId="0" borderId="0" xfId="0" applyNumberFormat="1" applyFont="1" applyFill="1" applyBorder="1" applyAlignment="1" applyProtection="1">
      <alignment horizontal="left"/>
      <protection locked="0"/>
    </xf>
    <xf numFmtId="0" fontId="2" fillId="0" borderId="1" xfId="0" applyFont="1" applyBorder="1" applyProtection="1">
      <protection locked="0"/>
    </xf>
    <xf numFmtId="0" fontId="3" fillId="0" borderId="0" xfId="0" applyFont="1" applyBorder="1" applyProtection="1">
      <protection locked="0"/>
    </xf>
    <xf numFmtId="1" fontId="3" fillId="0" borderId="2" xfId="0" applyNumberFormat="1" applyFont="1" applyBorder="1" applyProtection="1">
      <protection locked="0"/>
    </xf>
    <xf numFmtId="0" fontId="3" fillId="13" borderId="2" xfId="0" applyFont="1" applyFill="1" applyBorder="1" applyProtection="1">
      <protection locked="0"/>
    </xf>
    <xf numFmtId="0" fontId="3" fillId="0" borderId="0" xfId="0" applyFont="1" applyFill="1" applyProtection="1">
      <protection locked="0"/>
    </xf>
    <xf numFmtId="4" fontId="3" fillId="5" borderId="2" xfId="0" applyNumberFormat="1" applyFont="1" applyFill="1" applyBorder="1" applyProtection="1">
      <protection locked="0"/>
    </xf>
    <xf numFmtId="4" fontId="3" fillId="5" borderId="2" xfId="0" applyNumberFormat="1" applyFont="1" applyFill="1" applyBorder="1" applyAlignment="1" applyProtection="1">
      <alignment horizontal="right"/>
      <protection locked="0"/>
    </xf>
    <xf numFmtId="4" fontId="3" fillId="15" borderId="2" xfId="0" applyNumberFormat="1" applyFont="1" applyFill="1" applyBorder="1" applyProtection="1">
      <protection locked="0"/>
    </xf>
    <xf numFmtId="0" fontId="4" fillId="0" borderId="0" xfId="0" applyFont="1" applyBorder="1" applyProtection="1">
      <protection locked="0"/>
    </xf>
    <xf numFmtId="4" fontId="3" fillId="0" borderId="1" xfId="0" applyNumberFormat="1" applyFont="1" applyFill="1" applyBorder="1" applyProtection="1">
      <protection locked="0"/>
    </xf>
    <xf numFmtId="164" fontId="4" fillId="0" borderId="2" xfId="0" applyNumberFormat="1" applyFont="1" applyBorder="1" applyAlignment="1" applyProtection="1">
      <alignment horizontal="left"/>
      <protection locked="0"/>
    </xf>
    <xf numFmtId="4" fontId="2" fillId="0" borderId="1" xfId="0" applyNumberFormat="1" applyFont="1" applyFill="1" applyBorder="1" applyProtection="1">
      <protection locked="0"/>
    </xf>
    <xf numFmtId="49" fontId="3" fillId="0" borderId="15" xfId="0" applyNumberFormat="1" applyFont="1" applyBorder="1" applyProtection="1">
      <protection locked="0"/>
    </xf>
    <xf numFmtId="49" fontId="3" fillId="0" borderId="16" xfId="0" applyNumberFormat="1" applyFont="1" applyBorder="1" applyProtection="1">
      <protection locked="0"/>
    </xf>
    <xf numFmtId="49" fontId="3" fillId="0" borderId="15" xfId="0" applyNumberFormat="1" applyFont="1" applyBorder="1" applyAlignment="1" applyProtection="1">
      <alignment horizontal="right"/>
      <protection locked="0"/>
    </xf>
    <xf numFmtId="0" fontId="3" fillId="0" borderId="15" xfId="0" applyFont="1" applyBorder="1" applyProtection="1">
      <protection locked="0"/>
    </xf>
    <xf numFmtId="49" fontId="3" fillId="0" borderId="14" xfId="0" applyNumberFormat="1" applyFont="1" applyBorder="1" applyProtection="1">
      <protection locked="0"/>
    </xf>
    <xf numFmtId="14" fontId="3" fillId="0" borderId="14" xfId="0" applyNumberFormat="1" applyFont="1" applyBorder="1" applyAlignment="1" applyProtection="1">
      <alignment horizontal="center"/>
      <protection locked="0"/>
    </xf>
    <xf numFmtId="2" fontId="3" fillId="0" borderId="14" xfId="0" applyNumberFormat="1" applyFont="1" applyBorder="1" applyAlignment="1" applyProtection="1">
      <alignment horizontal="right"/>
      <protection locked="0"/>
    </xf>
    <xf numFmtId="49" fontId="2" fillId="0" borderId="2" xfId="0" applyNumberFormat="1" applyFont="1" applyBorder="1" applyAlignment="1" applyProtection="1">
      <alignment horizontal="right"/>
      <protection locked="0"/>
    </xf>
    <xf numFmtId="4" fontId="2" fillId="5" borderId="2" xfId="0" applyNumberFormat="1" applyFont="1" applyFill="1" applyBorder="1" applyProtection="1">
      <protection locked="0"/>
    </xf>
    <xf numFmtId="4" fontId="2" fillId="0" borderId="2" xfId="0" applyNumberFormat="1" applyFont="1" applyFill="1" applyBorder="1" applyAlignment="1" applyProtection="1">
      <alignment horizontal="left"/>
      <protection locked="0"/>
    </xf>
    <xf numFmtId="4" fontId="2" fillId="15" borderId="2" xfId="0" applyNumberFormat="1" applyFont="1" applyFill="1" applyBorder="1" applyProtection="1">
      <protection locked="0"/>
    </xf>
    <xf numFmtId="4" fontId="2" fillId="15" borderId="14" xfId="0" applyNumberFormat="1" applyFont="1" applyFill="1" applyBorder="1" applyProtection="1">
      <protection locked="0"/>
    </xf>
    <xf numFmtId="49" fontId="3" fillId="0" borderId="2" xfId="0" applyNumberFormat="1" applyFont="1" applyBorder="1" applyProtection="1"/>
    <xf numFmtId="164" fontId="3" fillId="0" borderId="2" xfId="0" applyNumberFormat="1" applyFont="1" applyBorder="1" applyAlignment="1" applyProtection="1">
      <alignment horizontal="left"/>
    </xf>
    <xf numFmtId="1" fontId="3" fillId="0" borderId="2" xfId="0" applyNumberFormat="1" applyFont="1" applyBorder="1" applyAlignment="1" applyProtection="1">
      <alignment horizontal="right"/>
    </xf>
    <xf numFmtId="49" fontId="3" fillId="0" borderId="2" xfId="0" applyNumberFormat="1" applyFont="1" applyBorder="1" applyAlignment="1" applyProtection="1">
      <alignment horizontal="left"/>
    </xf>
    <xf numFmtId="0" fontId="3" fillId="0" borderId="2" xfId="0" applyFont="1" applyBorder="1" applyAlignment="1" applyProtection="1">
      <alignment horizontal="left" vertical="top"/>
    </xf>
    <xf numFmtId="0" fontId="3" fillId="0" borderId="2" xfId="0" applyFont="1" applyBorder="1" applyProtection="1"/>
    <xf numFmtId="49" fontId="3" fillId="0" borderId="2" xfId="0" applyNumberFormat="1" applyFont="1" applyBorder="1" applyAlignment="1" applyProtection="1">
      <alignment horizontal="right"/>
    </xf>
    <xf numFmtId="4" fontId="3" fillId="0" borderId="2" xfId="0" applyNumberFormat="1" applyFont="1" applyBorder="1" applyAlignment="1" applyProtection="1">
      <alignment horizontal="right"/>
    </xf>
    <xf numFmtId="14" fontId="3" fillId="0" borderId="2" xfId="0" applyNumberFormat="1" applyFont="1" applyBorder="1" applyAlignment="1" applyProtection="1">
      <alignment horizontal="center"/>
    </xf>
    <xf numFmtId="2" fontId="3" fillId="0" borderId="2" xfId="0" applyNumberFormat="1" applyFont="1" applyBorder="1" applyProtection="1"/>
    <xf numFmtId="4" fontId="3" fillId="3" borderId="2" xfId="0" applyNumberFormat="1" applyFont="1" applyFill="1" applyBorder="1" applyProtection="1"/>
    <xf numFmtId="4" fontId="3" fillId="0" borderId="2" xfId="0" applyNumberFormat="1" applyFont="1" applyFill="1" applyBorder="1" applyAlignment="1" applyProtection="1">
      <alignment horizontal="left"/>
    </xf>
    <xf numFmtId="4" fontId="3" fillId="0" borderId="2" xfId="0" applyNumberFormat="1" applyFont="1" applyBorder="1" applyProtection="1"/>
    <xf numFmtId="0" fontId="3" fillId="0" borderId="1" xfId="0" applyFont="1" applyBorder="1" applyProtection="1"/>
    <xf numFmtId="4" fontId="3" fillId="0" borderId="1" xfId="0" applyNumberFormat="1" applyFont="1" applyBorder="1" applyProtection="1"/>
    <xf numFmtId="49" fontId="2" fillId="0" borderId="2" xfId="0" applyNumberFormat="1" applyFont="1" applyBorder="1" applyAlignment="1" applyProtection="1">
      <alignment horizontal="left"/>
    </xf>
    <xf numFmtId="1" fontId="2" fillId="0" borderId="2" xfId="0" applyNumberFormat="1" applyFont="1" applyBorder="1" applyAlignment="1" applyProtection="1">
      <alignment horizontal="right"/>
    </xf>
    <xf numFmtId="4" fontId="3" fillId="0" borderId="2" xfId="0" applyNumberFormat="1" applyFont="1" applyFill="1" applyBorder="1" applyAlignment="1" applyProtection="1">
      <alignment horizontal="right"/>
    </xf>
    <xf numFmtId="2" fontId="3" fillId="0" borderId="2" xfId="0" applyNumberFormat="1" applyFont="1" applyBorder="1" applyAlignment="1" applyProtection="1">
      <alignment horizontal="right"/>
    </xf>
    <xf numFmtId="4" fontId="2" fillId="0" borderId="2" xfId="0" applyNumberFormat="1" applyFont="1" applyFill="1" applyBorder="1" applyAlignment="1" applyProtection="1">
      <alignment horizontal="right"/>
    </xf>
    <xf numFmtId="4" fontId="4" fillId="0" borderId="2" xfId="0" applyNumberFormat="1" applyFont="1" applyBorder="1" applyProtection="1"/>
    <xf numFmtId="49" fontId="2" fillId="0" borderId="2" xfId="0" applyNumberFormat="1" applyFont="1" applyBorder="1" applyProtection="1"/>
    <xf numFmtId="4" fontId="2" fillId="0" borderId="2" xfId="0" applyNumberFormat="1" applyFont="1" applyBorder="1" applyAlignment="1" applyProtection="1">
      <alignment horizontal="right"/>
    </xf>
    <xf numFmtId="4" fontId="2" fillId="0" borderId="2" xfId="0" applyNumberFormat="1" applyFont="1" applyBorder="1" applyProtection="1"/>
    <xf numFmtId="0" fontId="13" fillId="0" borderId="1" xfId="0" applyFont="1" applyBorder="1" applyProtection="1"/>
    <xf numFmtId="4" fontId="4" fillId="11" borderId="1" xfId="0" applyNumberFormat="1" applyFont="1" applyFill="1" applyBorder="1" applyProtection="1">
      <protection locked="0"/>
    </xf>
    <xf numFmtId="4" fontId="4" fillId="0" borderId="0" xfId="0" applyNumberFormat="1" applyFont="1" applyBorder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Fill="1" applyProtection="1">
      <protection locked="0"/>
    </xf>
    <xf numFmtId="4" fontId="4" fillId="0" borderId="1" xfId="0" applyNumberFormat="1" applyFont="1" applyFill="1" applyBorder="1" applyProtection="1">
      <protection locked="0"/>
    </xf>
    <xf numFmtId="0" fontId="4" fillId="0" borderId="0" xfId="0" applyFont="1" applyFill="1" applyBorder="1" applyProtection="1">
      <protection locked="0"/>
    </xf>
    <xf numFmtId="4" fontId="4" fillId="0" borderId="0" xfId="0" applyNumberFormat="1" applyFont="1" applyFill="1" applyProtection="1">
      <protection locked="0"/>
    </xf>
    <xf numFmtId="4" fontId="15" fillId="0" borderId="0" xfId="0" applyNumberFormat="1" applyFont="1" applyFill="1" applyBorder="1" applyProtection="1">
      <protection locked="0"/>
    </xf>
    <xf numFmtId="4" fontId="4" fillId="0" borderId="0" xfId="0" applyNumberFormat="1" applyFont="1" applyProtection="1">
      <protection locked="0"/>
    </xf>
    <xf numFmtId="4" fontId="15" fillId="0" borderId="0" xfId="0" applyNumberFormat="1" applyFont="1" applyBorder="1" applyProtection="1">
      <protection locked="0"/>
    </xf>
    <xf numFmtId="0" fontId="4" fillId="0" borderId="0" xfId="0" applyFont="1" applyFill="1"/>
    <xf numFmtId="14" fontId="0" fillId="0" borderId="0" xfId="0" applyNumberFormat="1"/>
    <xf numFmtId="0" fontId="8" fillId="0" borderId="0" xfId="0" applyFont="1"/>
    <xf numFmtId="0" fontId="8" fillId="0" borderId="0" xfId="0" applyFon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" fontId="3" fillId="15" borderId="2" xfId="0" applyNumberFormat="1" applyFont="1" applyFill="1" applyBorder="1"/>
    <xf numFmtId="4" fontId="3" fillId="0" borderId="0" xfId="0" applyNumberFormat="1" applyFont="1" applyFill="1" applyBorder="1" applyProtection="1">
      <protection locked="0"/>
    </xf>
    <xf numFmtId="4" fontId="3" fillId="0" borderId="0" xfId="0" applyNumberFormat="1" applyFont="1" applyBorder="1"/>
    <xf numFmtId="4" fontId="3" fillId="0" borderId="1" xfId="0" applyNumberFormat="1" applyFont="1" applyFill="1" applyBorder="1"/>
    <xf numFmtId="4" fontId="3" fillId="0" borderId="0" xfId="0" applyNumberFormat="1" applyFont="1" applyFill="1" applyBorder="1"/>
    <xf numFmtId="4" fontId="2" fillId="0" borderId="0" xfId="0" applyNumberFormat="1" applyFont="1"/>
    <xf numFmtId="14" fontId="3" fillId="0" borderId="2" xfId="0" applyNumberFormat="1" applyFont="1" applyBorder="1"/>
  </cellXfs>
  <cellStyles count="2">
    <cellStyle name="SAPBEXstdItem" xfId="1"/>
    <cellStyle name="Standard" xfId="0" builtinId="0"/>
  </cellStyles>
  <dxfs count="0"/>
  <tableStyles count="0" defaultTableStyle="TableStyleMedium2" defaultPivotStyle="PivotStyleLight16"/>
  <colors>
    <mruColors>
      <color rgb="FFCCC0DA"/>
      <color rgb="FFCCCCFF"/>
      <color rgb="FF9999FF"/>
      <color rgb="FFFF66FF"/>
      <color rgb="FFFF00FF"/>
      <color rgb="FFFFFFCC"/>
      <color rgb="FF33CC33"/>
      <color rgb="FFFFFF66"/>
      <color rgb="FFA6C266"/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201812</xdr:colOff>
      <xdr:row>11</xdr:row>
      <xdr:rowOff>153116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3850"/>
          <a:ext cx="4421387" cy="17723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3</xdr:col>
      <xdr:colOff>173226</xdr:colOff>
      <xdr:row>22</xdr:row>
      <xdr:rowOff>48168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28875"/>
          <a:ext cx="4392801" cy="13435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39822</xdr:colOff>
      <xdr:row>25</xdr:row>
      <xdr:rowOff>9660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86200"/>
          <a:ext cx="4259397" cy="333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8"/>
  <sheetViews>
    <sheetView tabSelected="1" topLeftCell="G1" zoomScale="115" zoomScaleNormal="115" workbookViewId="0">
      <pane ySplit="14" topLeftCell="A80" activePane="bottomLeft" state="frozen"/>
      <selection pane="bottomLeft" activeCell="W90" sqref="W90"/>
    </sheetView>
  </sheetViews>
  <sheetFormatPr baseColWidth="10" defaultRowHeight="12.75" x14ac:dyDescent="0.2"/>
  <cols>
    <col min="1" max="1" width="7.42578125" style="1" customWidth="1"/>
    <col min="2" max="2" width="7.42578125" style="33" customWidth="1"/>
    <col min="3" max="3" width="12" style="33" bestFit="1" customWidth="1"/>
    <col min="4" max="4" width="10" style="6" bestFit="1" customWidth="1"/>
    <col min="5" max="5" width="7" style="1" customWidth="1"/>
    <col min="6" max="6" width="19.42578125" style="6" customWidth="1"/>
    <col min="7" max="7" width="9.7109375" style="6" customWidth="1"/>
    <col min="8" max="8" width="10.85546875" style="17" customWidth="1"/>
    <col min="9" max="9" width="10.7109375" style="27" customWidth="1"/>
    <col min="10" max="11" width="19.5703125" style="1" customWidth="1"/>
    <col min="12" max="12" width="22.85546875" style="1" customWidth="1"/>
    <col min="13" max="13" width="26.5703125" style="1" customWidth="1"/>
    <col min="14" max="14" width="5.5703125" style="1" customWidth="1"/>
    <col min="15" max="15" width="7.28515625" style="1" customWidth="1"/>
    <col min="16" max="16" width="9.140625" style="1" customWidth="1"/>
    <col min="17" max="17" width="13" style="1" customWidth="1"/>
    <col min="18" max="18" width="11.42578125" style="1" customWidth="1"/>
    <col min="19" max="19" width="11" style="1" customWidth="1"/>
    <col min="20" max="20" width="9.7109375" style="41" customWidth="1"/>
    <col min="21" max="21" width="15.28515625" style="7" customWidth="1"/>
    <col min="22" max="22" width="13" style="12" customWidth="1"/>
    <col min="23" max="23" width="12.28515625" customWidth="1"/>
    <col min="24" max="24" width="18.42578125" style="7" customWidth="1"/>
    <col min="25" max="25" width="44.85546875" style="1" customWidth="1"/>
    <col min="26" max="26" width="18.42578125" style="1" customWidth="1"/>
    <col min="27" max="28" width="11.42578125" customWidth="1"/>
  </cols>
  <sheetData>
    <row r="1" spans="1:38" ht="26.25" thickTop="1" x14ac:dyDescent="0.2">
      <c r="Q1" s="36" t="s">
        <v>62</v>
      </c>
      <c r="R1" s="28"/>
      <c r="S1" s="28"/>
      <c r="T1" s="69"/>
      <c r="U1" s="35" t="s">
        <v>60</v>
      </c>
      <c r="X1" s="18"/>
      <c r="Y1" s="7"/>
      <c r="Z1" s="7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x14ac:dyDescent="0.2">
      <c r="J2" s="1">
        <f>9568.08*6*1.2/2</f>
        <v>34445.087999999996</v>
      </c>
      <c r="Q2" s="78" t="s">
        <v>151</v>
      </c>
      <c r="R2" s="79"/>
      <c r="S2" s="79"/>
      <c r="T2" s="80"/>
      <c r="U2" s="81">
        <f>SUMIF(K15:K108,Q2,U15:U108)</f>
        <v>71721.816000000006</v>
      </c>
      <c r="X2" s="18"/>
      <c r="Y2" s="7"/>
      <c r="Z2" s="7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x14ac:dyDescent="0.2">
      <c r="Q3" s="78" t="s">
        <v>153</v>
      </c>
      <c r="R3" s="79"/>
      <c r="S3" s="79"/>
      <c r="T3" s="80"/>
      <c r="U3" s="81">
        <f>SUMIF(K15:K108,Q3,U15:U108)</f>
        <v>0</v>
      </c>
      <c r="X3" s="18"/>
      <c r="Y3" s="7"/>
      <c r="Z3" s="7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x14ac:dyDescent="0.2">
      <c r="Q4" s="82" t="s">
        <v>154</v>
      </c>
      <c r="R4" s="29"/>
      <c r="S4" s="30"/>
      <c r="T4" s="70"/>
      <c r="U4" s="81">
        <f>SUMIF(K15:K108,Q4,U15:U108)</f>
        <v>0</v>
      </c>
      <c r="X4" s="18"/>
      <c r="Y4" s="7"/>
      <c r="Z4" s="7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x14ac:dyDescent="0.2">
      <c r="Q5" s="82" t="s">
        <v>155</v>
      </c>
      <c r="R5" s="29"/>
      <c r="S5" s="30"/>
      <c r="T5" s="70"/>
      <c r="U5" s="81">
        <f>SUMIF(K15:K108,Q5,U15:U108)</f>
        <v>322732.24199999997</v>
      </c>
      <c r="X5" s="18"/>
      <c r="Y5" s="7"/>
      <c r="Z5" s="7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13.5" thickBot="1" x14ac:dyDescent="0.25">
      <c r="Q6" s="84" t="s">
        <v>156</v>
      </c>
      <c r="R6" s="31"/>
      <c r="S6" s="32"/>
      <c r="T6" s="71"/>
      <c r="U6" s="81">
        <f>SUMIF(K15:K108,Q6,U15:U108)</f>
        <v>0</v>
      </c>
      <c r="X6" s="18"/>
      <c r="Y6" s="7"/>
      <c r="Z6" s="7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4.25" thickTop="1" thickBot="1" x14ac:dyDescent="0.25">
      <c r="Q7" s="41"/>
      <c r="X7" s="18"/>
      <c r="Y7" s="7"/>
      <c r="Z7" s="7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4.25" thickTop="1" thickBot="1" x14ac:dyDescent="0.25">
      <c r="G8" s="42"/>
      <c r="H8" s="42" t="s">
        <v>73</v>
      </c>
      <c r="I8" s="43"/>
      <c r="J8" s="44" t="s">
        <v>70</v>
      </c>
      <c r="K8" s="44" t="s">
        <v>98</v>
      </c>
      <c r="L8" s="44" t="s">
        <v>99</v>
      </c>
      <c r="M8" s="44" t="s">
        <v>100</v>
      </c>
      <c r="Q8" s="41"/>
      <c r="T8" s="72"/>
      <c r="U8" s="53" t="s">
        <v>74</v>
      </c>
      <c r="V8" s="54" t="s">
        <v>61</v>
      </c>
      <c r="W8" s="55" t="s">
        <v>63</v>
      </c>
      <c r="X8" s="56" t="s">
        <v>66</v>
      </c>
      <c r="Y8"/>
      <c r="Z8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1:38" ht="13.5" thickTop="1" x14ac:dyDescent="0.2">
      <c r="G9" s="45"/>
      <c r="H9" s="42"/>
      <c r="I9" s="46" t="s">
        <v>152</v>
      </c>
      <c r="J9" s="47" t="s">
        <v>67</v>
      </c>
      <c r="K9" s="47" t="s">
        <v>68</v>
      </c>
      <c r="L9" s="47" t="s">
        <v>69</v>
      </c>
      <c r="M9" s="48" t="s">
        <v>75</v>
      </c>
      <c r="P9" s="40"/>
      <c r="Q9" s="41"/>
      <c r="T9" s="73" t="s">
        <v>152</v>
      </c>
      <c r="U9" s="57" t="s">
        <v>24</v>
      </c>
      <c r="V9" s="58">
        <f>SUM(U19:U20)</f>
        <v>186629.52</v>
      </c>
      <c r="W9" s="59">
        <v>180000</v>
      </c>
      <c r="X9" s="60">
        <f>W9-V9</f>
        <v>-6629.5199999999895</v>
      </c>
      <c r="Y9"/>
      <c r="Z9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</row>
    <row r="10" spans="1:38" ht="12.75" customHeight="1" thickBot="1" x14ac:dyDescent="0.25">
      <c r="G10" s="42"/>
      <c r="H10" s="42" t="s">
        <v>72</v>
      </c>
      <c r="I10" s="49">
        <f>SUMIF(K19:K113,I9,P19:P113)</f>
        <v>1560</v>
      </c>
      <c r="J10" s="50">
        <f>SUMIF(K19:K113,J9,P19:P113)</f>
        <v>7400</v>
      </c>
      <c r="K10" s="50">
        <f>SUMIF(K19:K113,K9,P19:P113)</f>
        <v>15705</v>
      </c>
      <c r="L10" s="50">
        <f>SUMIF(K19:K113,L9,P19:P113)</f>
        <v>6864</v>
      </c>
      <c r="M10" s="51">
        <f>SUM(K10:L10)</f>
        <v>22569</v>
      </c>
      <c r="Q10" s="41"/>
      <c r="R10" s="19"/>
      <c r="T10" s="83">
        <v>8846</v>
      </c>
      <c r="U10" s="61" t="s">
        <v>65</v>
      </c>
      <c r="V10" s="62">
        <f>SUM(X21:X113)</f>
        <v>2053961.2196666657</v>
      </c>
      <c r="W10" s="63">
        <v>2230000</v>
      </c>
      <c r="X10" s="60">
        <f>W10-V10</f>
        <v>176038.78033333435</v>
      </c>
      <c r="Y10" s="7"/>
      <c r="Z10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</row>
    <row r="11" spans="1:38" ht="12.75" customHeight="1" thickTop="1" x14ac:dyDescent="0.2">
      <c r="G11" s="42"/>
      <c r="H11" s="42" t="s">
        <v>71</v>
      </c>
      <c r="I11" s="52">
        <f>I10/600</f>
        <v>2.6</v>
      </c>
      <c r="J11" s="76">
        <f>J10/600</f>
        <v>12.333333333333334</v>
      </c>
      <c r="K11" s="76">
        <f>K10/600</f>
        <v>26.175000000000001</v>
      </c>
      <c r="L11" s="76">
        <f>L10/600</f>
        <v>11.44</v>
      </c>
      <c r="M11" s="76">
        <f>SUM(K11:L11)</f>
        <v>37.615000000000002</v>
      </c>
      <c r="Q11" s="24"/>
      <c r="R11" s="26"/>
      <c r="S11" s="23"/>
      <c r="T11" s="74"/>
      <c r="U11" s="64"/>
      <c r="V11" s="64"/>
      <c r="W11" s="64"/>
      <c r="X11" s="64"/>
      <c r="Y11"/>
      <c r="Z11"/>
    </row>
    <row r="12" spans="1:38" ht="12.75" customHeight="1" x14ac:dyDescent="0.2">
      <c r="Q12" s="41"/>
      <c r="V12" s="34"/>
      <c r="W12" s="25"/>
      <c r="X12" s="25"/>
      <c r="Y12"/>
      <c r="Z12"/>
    </row>
    <row r="13" spans="1:38" x14ac:dyDescent="0.2">
      <c r="A13" s="98"/>
      <c r="B13" s="99"/>
      <c r="C13" s="99"/>
      <c r="D13" s="100"/>
      <c r="E13" s="101" t="s">
        <v>39</v>
      </c>
      <c r="F13" s="100"/>
      <c r="G13" s="100"/>
      <c r="H13" s="102"/>
      <c r="I13" s="103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104"/>
      <c r="U13" s="105"/>
      <c r="V13" s="106"/>
      <c r="W13" s="107"/>
      <c r="X13" s="105"/>
      <c r="Y13" s="98"/>
      <c r="Z13" s="9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</row>
    <row r="14" spans="1:38" s="2" customFormat="1" ht="60" x14ac:dyDescent="0.2">
      <c r="A14" s="109" t="s">
        <v>9</v>
      </c>
      <c r="B14" s="110" t="s">
        <v>10</v>
      </c>
      <c r="C14" s="110" t="s">
        <v>150</v>
      </c>
      <c r="D14" s="111" t="s">
        <v>13</v>
      </c>
      <c r="E14" s="112" t="s">
        <v>8</v>
      </c>
      <c r="F14" s="113" t="s">
        <v>0</v>
      </c>
      <c r="G14" s="113" t="s">
        <v>1</v>
      </c>
      <c r="H14" s="114" t="s">
        <v>43</v>
      </c>
      <c r="I14" s="115" t="s">
        <v>42</v>
      </c>
      <c r="J14" s="116" t="s">
        <v>40</v>
      </c>
      <c r="K14" s="115" t="s">
        <v>356</v>
      </c>
      <c r="L14" s="115" t="s">
        <v>11</v>
      </c>
      <c r="M14" s="117" t="s">
        <v>12</v>
      </c>
      <c r="N14" s="118" t="s">
        <v>14</v>
      </c>
      <c r="O14" s="119" t="s">
        <v>15</v>
      </c>
      <c r="P14" s="119" t="s">
        <v>16</v>
      </c>
      <c r="Q14" s="120" t="s">
        <v>17</v>
      </c>
      <c r="R14" s="121" t="s">
        <v>2</v>
      </c>
      <c r="S14" s="121" t="s">
        <v>3</v>
      </c>
      <c r="T14" s="122" t="s">
        <v>18</v>
      </c>
      <c r="U14" s="123" t="s">
        <v>81</v>
      </c>
      <c r="V14" s="124" t="s">
        <v>44</v>
      </c>
      <c r="W14" s="123" t="s">
        <v>82</v>
      </c>
      <c r="X14" s="125" t="s">
        <v>80</v>
      </c>
      <c r="Y14" s="125" t="s">
        <v>132</v>
      </c>
      <c r="Z14" s="125" t="s">
        <v>364</v>
      </c>
      <c r="AA14" s="125" t="s">
        <v>133</v>
      </c>
      <c r="AB14" s="125" t="s">
        <v>134</v>
      </c>
      <c r="AC14" s="125" t="s">
        <v>135</v>
      </c>
      <c r="AD14" s="125" t="s">
        <v>136</v>
      </c>
      <c r="AE14" s="125" t="s">
        <v>88</v>
      </c>
      <c r="AF14" s="125" t="s">
        <v>137</v>
      </c>
      <c r="AG14" s="125" t="s">
        <v>138</v>
      </c>
      <c r="AH14" s="125" t="s">
        <v>139</v>
      </c>
      <c r="AI14" s="125" t="s">
        <v>140</v>
      </c>
      <c r="AJ14" s="125" t="s">
        <v>141</v>
      </c>
      <c r="AK14" s="125" t="s">
        <v>142</v>
      </c>
      <c r="AL14" s="125" t="s">
        <v>143</v>
      </c>
    </row>
    <row r="15" spans="1:38" s="193" customFormat="1" ht="12" x14ac:dyDescent="0.2">
      <c r="A15" s="180" t="s">
        <v>19</v>
      </c>
      <c r="B15" s="181">
        <v>8841</v>
      </c>
      <c r="C15" s="181" t="s">
        <v>155</v>
      </c>
      <c r="D15" s="180" t="s">
        <v>49</v>
      </c>
      <c r="E15" s="180" t="s">
        <v>131</v>
      </c>
      <c r="F15" s="180" t="s">
        <v>36</v>
      </c>
      <c r="G15" s="180" t="s">
        <v>37</v>
      </c>
      <c r="H15" s="182">
        <v>317455</v>
      </c>
      <c r="I15" s="183" t="s">
        <v>41</v>
      </c>
      <c r="J15" s="184" t="s">
        <v>45</v>
      </c>
      <c r="K15" s="181" t="s">
        <v>155</v>
      </c>
      <c r="L15" s="183"/>
      <c r="M15" s="185"/>
      <c r="N15" s="186" t="s">
        <v>355</v>
      </c>
      <c r="O15" s="182">
        <v>50</v>
      </c>
      <c r="P15" s="182">
        <f t="shared" ref="P15:P20" si="0">T15*O15</f>
        <v>600</v>
      </c>
      <c r="Q15" s="187">
        <f>(149755*(O15/100)/12)</f>
        <v>6239.791666666667</v>
      </c>
      <c r="R15" s="188">
        <v>44621</v>
      </c>
      <c r="S15" s="188">
        <v>46173</v>
      </c>
      <c r="T15" s="189">
        <v>12</v>
      </c>
      <c r="U15" s="190">
        <f>(Q15*T15)*1.18</f>
        <v>88355.45</v>
      </c>
      <c r="V15" s="191"/>
      <c r="W15" s="187"/>
      <c r="X15" s="192"/>
      <c r="AA15" s="194"/>
      <c r="AB15" s="194"/>
      <c r="AC15" s="194"/>
      <c r="AD15" s="194"/>
      <c r="AE15" s="194"/>
      <c r="AF15" s="194"/>
      <c r="AG15" s="194"/>
      <c r="AH15" s="194"/>
      <c r="AI15" s="194"/>
      <c r="AJ15" s="194"/>
      <c r="AK15" s="194"/>
      <c r="AL15" s="194"/>
    </row>
    <row r="16" spans="1:38" s="193" customFormat="1" ht="12" x14ac:dyDescent="0.2">
      <c r="A16" s="183" t="s">
        <v>19</v>
      </c>
      <c r="B16" s="181">
        <v>8841</v>
      </c>
      <c r="C16" s="181" t="s">
        <v>155</v>
      </c>
      <c r="D16" s="195" t="s">
        <v>38</v>
      </c>
      <c r="E16" s="180" t="s">
        <v>131</v>
      </c>
      <c r="F16" s="195" t="s">
        <v>5</v>
      </c>
      <c r="G16" s="195" t="s">
        <v>6</v>
      </c>
      <c r="H16" s="196">
        <v>728989</v>
      </c>
      <c r="I16" s="183" t="s">
        <v>41</v>
      </c>
      <c r="J16" s="184" t="s">
        <v>45</v>
      </c>
      <c r="K16" s="181" t="s">
        <v>155</v>
      </c>
      <c r="L16" s="183"/>
      <c r="M16" s="185"/>
      <c r="N16" s="186" t="s">
        <v>20</v>
      </c>
      <c r="O16" s="182">
        <v>40</v>
      </c>
      <c r="P16" s="182">
        <f t="shared" si="0"/>
        <v>480</v>
      </c>
      <c r="Q16" s="197">
        <f>(151953*(O16/100)/12)</f>
        <v>5065.1000000000004</v>
      </c>
      <c r="R16" s="188">
        <v>43556</v>
      </c>
      <c r="S16" s="188" t="s">
        <v>4</v>
      </c>
      <c r="T16" s="198">
        <v>12</v>
      </c>
      <c r="U16" s="190">
        <f>(Q16*T16)*1.18</f>
        <v>71721.816000000006</v>
      </c>
      <c r="V16" s="191"/>
      <c r="W16" s="199"/>
      <c r="X16" s="200"/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  <c r="AK16" s="194"/>
      <c r="AL16" s="194"/>
    </row>
    <row r="17" spans="1:39" s="193" customFormat="1" ht="12" x14ac:dyDescent="0.2">
      <c r="A17" s="183" t="s">
        <v>19</v>
      </c>
      <c r="B17" s="181">
        <v>8841</v>
      </c>
      <c r="C17" s="181" t="s">
        <v>151</v>
      </c>
      <c r="D17" s="195" t="s">
        <v>38</v>
      </c>
      <c r="E17" s="180" t="s">
        <v>131</v>
      </c>
      <c r="F17" s="195" t="s">
        <v>5</v>
      </c>
      <c r="G17" s="195" t="s">
        <v>6</v>
      </c>
      <c r="H17" s="196">
        <v>728989</v>
      </c>
      <c r="I17" s="183" t="s">
        <v>41</v>
      </c>
      <c r="J17" s="184" t="s">
        <v>45</v>
      </c>
      <c r="K17" s="181" t="s">
        <v>151</v>
      </c>
      <c r="L17" s="183"/>
      <c r="M17" s="185"/>
      <c r="N17" s="186" t="s">
        <v>20</v>
      </c>
      <c r="O17" s="182">
        <v>40</v>
      </c>
      <c r="P17" s="182">
        <f t="shared" ref="P17" si="1">T17*O17</f>
        <v>480</v>
      </c>
      <c r="Q17" s="197">
        <f>(151953*(O17/100)/12)</f>
        <v>5065.1000000000004</v>
      </c>
      <c r="R17" s="188">
        <v>43556</v>
      </c>
      <c r="S17" s="188" t="s">
        <v>4</v>
      </c>
      <c r="T17" s="198">
        <v>12</v>
      </c>
      <c r="U17" s="190">
        <f>(Q17*T17)*1.18</f>
        <v>71721.816000000006</v>
      </c>
      <c r="V17" s="191"/>
      <c r="W17" s="199"/>
      <c r="X17" s="200"/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  <c r="AK17" s="194"/>
      <c r="AL17" s="194"/>
    </row>
    <row r="18" spans="1:39" s="204" customFormat="1" ht="12" x14ac:dyDescent="0.2">
      <c r="A18" s="180" t="s">
        <v>19</v>
      </c>
      <c r="B18" s="181">
        <v>8841</v>
      </c>
      <c r="C18" s="181" t="s">
        <v>155</v>
      </c>
      <c r="D18" s="201" t="s">
        <v>174</v>
      </c>
      <c r="E18" s="180" t="s">
        <v>131</v>
      </c>
      <c r="F18" s="201" t="s">
        <v>7</v>
      </c>
      <c r="G18" s="201" t="s">
        <v>175</v>
      </c>
      <c r="H18" s="196">
        <v>316435</v>
      </c>
      <c r="I18" s="183" t="s">
        <v>41</v>
      </c>
      <c r="J18" s="184" t="s">
        <v>45</v>
      </c>
      <c r="K18" s="181" t="s">
        <v>155</v>
      </c>
      <c r="L18" s="183"/>
      <c r="M18" s="185"/>
      <c r="N18" s="186" t="s">
        <v>21</v>
      </c>
      <c r="O18" s="182">
        <v>80</v>
      </c>
      <c r="P18" s="182">
        <f t="shared" si="0"/>
        <v>960</v>
      </c>
      <c r="Q18" s="187">
        <f>(172304*(O18/100)/12)</f>
        <v>11486.933333333334</v>
      </c>
      <c r="R18" s="188">
        <v>45047</v>
      </c>
      <c r="S18" s="188">
        <v>47177</v>
      </c>
      <c r="T18" s="189">
        <v>12</v>
      </c>
      <c r="U18" s="190">
        <f>(Q18*T18)*1.18</f>
        <v>162654.976</v>
      </c>
      <c r="V18" s="191"/>
      <c r="W18" s="202"/>
      <c r="X18" s="203"/>
      <c r="AA18" s="194"/>
      <c r="AB18" s="194"/>
      <c r="AC18" s="194"/>
      <c r="AD18" s="194"/>
      <c r="AE18" s="194"/>
      <c r="AF18" s="194"/>
      <c r="AG18" s="194"/>
      <c r="AH18" s="194"/>
      <c r="AI18" s="194"/>
      <c r="AJ18" s="194"/>
      <c r="AK18" s="194"/>
      <c r="AL18" s="194"/>
      <c r="AM18" s="193"/>
    </row>
    <row r="19" spans="1:39" s="3" customFormat="1" ht="12" x14ac:dyDescent="0.2">
      <c r="A19" s="126" t="s">
        <v>19</v>
      </c>
      <c r="B19" s="127">
        <v>8846</v>
      </c>
      <c r="C19" s="127" t="s">
        <v>152</v>
      </c>
      <c r="D19" s="126" t="s">
        <v>49</v>
      </c>
      <c r="E19" s="126" t="s">
        <v>131</v>
      </c>
      <c r="F19" s="126" t="s">
        <v>36</v>
      </c>
      <c r="G19" s="126" t="s">
        <v>37</v>
      </c>
      <c r="H19" s="128">
        <v>317455</v>
      </c>
      <c r="I19" s="129" t="s">
        <v>23</v>
      </c>
      <c r="J19" s="130" t="s">
        <v>24</v>
      </c>
      <c r="K19" s="127" t="s">
        <v>152</v>
      </c>
      <c r="L19" s="129"/>
      <c r="M19" s="131"/>
      <c r="N19" s="132" t="s">
        <v>355</v>
      </c>
      <c r="O19" s="128">
        <v>50</v>
      </c>
      <c r="P19" s="182">
        <f t="shared" si="0"/>
        <v>600</v>
      </c>
      <c r="Q19" s="133">
        <f>(149766*(O19/100)/12)</f>
        <v>6240.25</v>
      </c>
      <c r="R19" s="134">
        <v>44621</v>
      </c>
      <c r="S19" s="134">
        <v>46173</v>
      </c>
      <c r="T19" s="135">
        <v>12</v>
      </c>
      <c r="U19" s="143">
        <f t="shared" ref="U19:U20" si="2">(Q19*T19)*1.2</f>
        <v>89859.599999999991</v>
      </c>
      <c r="V19" s="136"/>
      <c r="W19" s="133"/>
      <c r="X19" s="137"/>
      <c r="Y19" s="138"/>
      <c r="Z19" s="138"/>
      <c r="AA19" s="205"/>
      <c r="AB19" s="205"/>
      <c r="AC19" s="205"/>
      <c r="AD19" s="205"/>
      <c r="AE19" s="205"/>
      <c r="AF19" s="205"/>
      <c r="AG19" s="205"/>
      <c r="AH19" s="205"/>
      <c r="AI19" s="205"/>
      <c r="AJ19" s="205"/>
      <c r="AK19" s="205"/>
      <c r="AL19" s="205"/>
    </row>
    <row r="20" spans="1:39" s="4" customFormat="1" ht="12" x14ac:dyDescent="0.2">
      <c r="A20" s="129" t="s">
        <v>19</v>
      </c>
      <c r="B20" s="127">
        <v>8846</v>
      </c>
      <c r="C20" s="127" t="s">
        <v>152</v>
      </c>
      <c r="D20" s="139" t="s">
        <v>181</v>
      </c>
      <c r="E20" s="126" t="s">
        <v>131</v>
      </c>
      <c r="F20" s="139" t="s">
        <v>182</v>
      </c>
      <c r="G20" s="139" t="s">
        <v>183</v>
      </c>
      <c r="H20" s="128"/>
      <c r="I20" s="129" t="s">
        <v>23</v>
      </c>
      <c r="J20" s="129" t="s">
        <v>24</v>
      </c>
      <c r="K20" s="127" t="s">
        <v>152</v>
      </c>
      <c r="L20" s="129"/>
      <c r="M20" s="129"/>
      <c r="N20" s="132" t="s">
        <v>21</v>
      </c>
      <c r="O20" s="128">
        <v>80</v>
      </c>
      <c r="P20" s="182">
        <f t="shared" si="0"/>
        <v>960</v>
      </c>
      <c r="Q20" s="133">
        <f>(100802*(O20/100)/12)</f>
        <v>6720.1333333333341</v>
      </c>
      <c r="R20" s="134">
        <v>45114</v>
      </c>
      <c r="S20" s="134" t="s">
        <v>4</v>
      </c>
      <c r="T20" s="140">
        <v>12</v>
      </c>
      <c r="U20" s="143">
        <f t="shared" si="2"/>
        <v>96769.919999999998</v>
      </c>
      <c r="V20" s="136"/>
      <c r="W20" s="142"/>
      <c r="X20" s="144"/>
      <c r="Y20" s="145"/>
      <c r="Z20" s="146"/>
      <c r="AA20" s="147"/>
      <c r="AB20" s="147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/>
      <c r="AM20" s="3"/>
    </row>
    <row r="21" spans="1:39" s="3" customFormat="1" ht="12" x14ac:dyDescent="0.2">
      <c r="A21" s="129" t="s">
        <v>19</v>
      </c>
      <c r="B21" s="127">
        <v>8846</v>
      </c>
      <c r="C21" s="127"/>
      <c r="D21" s="129" t="s">
        <v>29</v>
      </c>
      <c r="E21" s="126" t="s">
        <v>131</v>
      </c>
      <c r="F21" s="129" t="s">
        <v>54</v>
      </c>
      <c r="G21" s="129" t="s">
        <v>55</v>
      </c>
      <c r="H21" s="148">
        <v>316914</v>
      </c>
      <c r="I21" s="131" t="s">
        <v>23</v>
      </c>
      <c r="J21" s="129" t="s">
        <v>25</v>
      </c>
      <c r="K21" s="149" t="s">
        <v>67</v>
      </c>
      <c r="L21" s="129" t="s">
        <v>78</v>
      </c>
      <c r="M21" s="131" t="s">
        <v>28</v>
      </c>
      <c r="N21" s="128">
        <v>100</v>
      </c>
      <c r="O21" s="128">
        <v>50</v>
      </c>
      <c r="P21" s="128">
        <f t="shared" ref="P21" si="3">T21*N21</f>
        <v>600</v>
      </c>
      <c r="Q21" s="137">
        <f>(114164*(O21/100)/12)</f>
        <v>4756.833333333333</v>
      </c>
      <c r="R21" s="134">
        <v>45383</v>
      </c>
      <c r="S21" s="134">
        <v>45565</v>
      </c>
      <c r="T21" s="140">
        <v>6</v>
      </c>
      <c r="U21" s="150">
        <f t="shared" ref="U21:U48" si="4">(Q21*T21)*1.18</f>
        <v>33678.379999999997</v>
      </c>
      <c r="V21" s="151"/>
      <c r="W21" s="150">
        <v>0</v>
      </c>
      <c r="X21" s="152">
        <f>U21-W21</f>
        <v>33678.379999999997</v>
      </c>
      <c r="Y21" s="138"/>
      <c r="Z21" s="138"/>
      <c r="AA21" s="205"/>
      <c r="AB21" s="205"/>
      <c r="AC21" s="205"/>
      <c r="AD21" s="205"/>
      <c r="AE21" s="205"/>
      <c r="AF21" s="205"/>
      <c r="AG21" s="205"/>
      <c r="AH21" s="205"/>
      <c r="AI21" s="205"/>
      <c r="AJ21" s="205"/>
      <c r="AK21" s="205"/>
      <c r="AL21" s="205"/>
      <c r="AM21" s="86"/>
    </row>
    <row r="22" spans="1:39" s="3" customFormat="1" ht="12" x14ac:dyDescent="0.2">
      <c r="A22" s="129" t="s">
        <v>19</v>
      </c>
      <c r="B22" s="127">
        <v>8846</v>
      </c>
      <c r="C22" s="127"/>
      <c r="D22" s="129" t="s">
        <v>101</v>
      </c>
      <c r="E22" s="126" t="s">
        <v>131</v>
      </c>
      <c r="F22" s="129" t="s">
        <v>35</v>
      </c>
      <c r="G22" s="129" t="s">
        <v>79</v>
      </c>
      <c r="H22" s="148">
        <v>360565</v>
      </c>
      <c r="I22" s="131" t="s">
        <v>23</v>
      </c>
      <c r="J22" s="129" t="s">
        <v>31</v>
      </c>
      <c r="K22" s="129" t="s">
        <v>68</v>
      </c>
      <c r="L22" s="129" t="s">
        <v>198</v>
      </c>
      <c r="M22" s="131" t="s">
        <v>32</v>
      </c>
      <c r="N22" s="128">
        <v>80</v>
      </c>
      <c r="O22" s="128">
        <v>80</v>
      </c>
      <c r="P22" s="128">
        <f>T22*N22</f>
        <v>480</v>
      </c>
      <c r="Q22" s="137">
        <f>(116080*(O22/100)/12)</f>
        <v>7738.666666666667</v>
      </c>
      <c r="R22" s="134">
        <v>45292</v>
      </c>
      <c r="S22" s="134">
        <v>45473</v>
      </c>
      <c r="T22" s="140">
        <v>6</v>
      </c>
      <c r="U22" s="150">
        <f t="shared" si="4"/>
        <v>54789.759999999995</v>
      </c>
      <c r="V22" s="136" t="s">
        <v>340</v>
      </c>
      <c r="W22" s="150">
        <v>19200</v>
      </c>
      <c r="X22" s="152">
        <f>U22-W22</f>
        <v>35589.759999999995</v>
      </c>
      <c r="Y22" s="138"/>
      <c r="Z22" s="222" t="s">
        <v>340</v>
      </c>
      <c r="AA22" s="145">
        <v>3200</v>
      </c>
      <c r="AB22" s="145">
        <v>3200</v>
      </c>
      <c r="AC22" s="145">
        <v>3200</v>
      </c>
      <c r="AD22" s="145">
        <v>3200</v>
      </c>
      <c r="AE22" s="145">
        <v>3200</v>
      </c>
      <c r="AF22" s="145">
        <v>3200</v>
      </c>
      <c r="AG22" s="145"/>
      <c r="AH22" s="145"/>
      <c r="AI22" s="145"/>
      <c r="AJ22" s="145"/>
      <c r="AK22" s="145"/>
      <c r="AL22" s="145"/>
      <c r="AM22" s="77">
        <f>SUM(AA22:AL22)</f>
        <v>19200</v>
      </c>
    </row>
    <row r="23" spans="1:39" s="3" customFormat="1" ht="12" x14ac:dyDescent="0.2">
      <c r="A23" s="129" t="s">
        <v>19</v>
      </c>
      <c r="B23" s="127">
        <v>8846</v>
      </c>
      <c r="C23" s="127"/>
      <c r="D23" s="129" t="s">
        <v>101</v>
      </c>
      <c r="E23" s="126" t="s">
        <v>131</v>
      </c>
      <c r="F23" s="129" t="s">
        <v>35</v>
      </c>
      <c r="G23" s="129" t="s">
        <v>79</v>
      </c>
      <c r="H23" s="148">
        <v>360565</v>
      </c>
      <c r="I23" s="131" t="s">
        <v>23</v>
      </c>
      <c r="J23" s="129" t="s">
        <v>25</v>
      </c>
      <c r="K23" s="129" t="s">
        <v>67</v>
      </c>
      <c r="L23" s="129" t="s">
        <v>51</v>
      </c>
      <c r="M23" s="131" t="s">
        <v>32</v>
      </c>
      <c r="N23" s="128">
        <v>100</v>
      </c>
      <c r="O23" s="128">
        <v>100</v>
      </c>
      <c r="P23" s="128">
        <f t="shared" ref="P23" si="5">T23*N23</f>
        <v>600</v>
      </c>
      <c r="Q23" s="137">
        <f>(116080*(O23/100)/12)</f>
        <v>9673.3333333333339</v>
      </c>
      <c r="R23" s="134">
        <v>45474</v>
      </c>
      <c r="S23" s="134">
        <v>45657</v>
      </c>
      <c r="T23" s="140">
        <v>6</v>
      </c>
      <c r="U23" s="150">
        <f t="shared" si="4"/>
        <v>68487.199999999997</v>
      </c>
      <c r="V23" s="136" t="s">
        <v>341</v>
      </c>
      <c r="W23" s="150">
        <f>U23/2</f>
        <v>34243.599999999999</v>
      </c>
      <c r="X23" s="152">
        <f>U23-W23</f>
        <v>34243.599999999999</v>
      </c>
      <c r="Y23" s="138"/>
      <c r="Z23" s="222" t="s">
        <v>341</v>
      </c>
      <c r="AA23" s="145"/>
      <c r="AB23" s="145"/>
      <c r="AC23" s="145"/>
      <c r="AD23" s="145"/>
      <c r="AE23" s="145"/>
      <c r="AF23" s="145"/>
      <c r="AG23" s="145">
        <v>5645</v>
      </c>
      <c r="AH23" s="145">
        <v>5645</v>
      </c>
      <c r="AI23" s="145">
        <v>5645</v>
      </c>
      <c r="AJ23" s="145">
        <v>5645</v>
      </c>
      <c r="AK23" s="145">
        <v>5645</v>
      </c>
      <c r="AL23" s="145">
        <v>5645</v>
      </c>
      <c r="AM23" s="77">
        <f>SUM(AG23:AL23)</f>
        <v>33870</v>
      </c>
    </row>
    <row r="24" spans="1:39" s="3" customFormat="1" ht="12" x14ac:dyDescent="0.2">
      <c r="A24" s="129" t="s">
        <v>19</v>
      </c>
      <c r="B24" s="127">
        <v>8846</v>
      </c>
      <c r="C24" s="127"/>
      <c r="D24" s="129" t="s">
        <v>109</v>
      </c>
      <c r="E24" s="126" t="s">
        <v>131</v>
      </c>
      <c r="F24" s="129" t="s">
        <v>118</v>
      </c>
      <c r="G24" s="129" t="s">
        <v>47</v>
      </c>
      <c r="H24" s="153">
        <v>312499</v>
      </c>
      <c r="I24" s="131" t="s">
        <v>23</v>
      </c>
      <c r="J24" s="129" t="s">
        <v>76</v>
      </c>
      <c r="K24" s="129" t="s">
        <v>67</v>
      </c>
      <c r="L24" s="149" t="s">
        <v>50</v>
      </c>
      <c r="M24" s="131" t="s">
        <v>28</v>
      </c>
      <c r="N24" s="128">
        <v>100</v>
      </c>
      <c r="O24" s="128">
        <v>50</v>
      </c>
      <c r="P24" s="128">
        <f>T24*N24</f>
        <v>600</v>
      </c>
      <c r="Q24" s="137">
        <f>(117997*(O24/100)/12)</f>
        <v>4916.541666666667</v>
      </c>
      <c r="R24" s="134">
        <v>45292</v>
      </c>
      <c r="S24" s="134">
        <v>45473</v>
      </c>
      <c r="T24" s="140">
        <v>6</v>
      </c>
      <c r="U24" s="150">
        <f t="shared" si="4"/>
        <v>34809.114999999998</v>
      </c>
      <c r="V24" s="136"/>
      <c r="W24" s="150">
        <v>0</v>
      </c>
      <c r="X24" s="152">
        <f>U24-W24</f>
        <v>34809.114999999998</v>
      </c>
      <c r="Y24" s="138"/>
      <c r="Z24" s="222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86"/>
    </row>
    <row r="25" spans="1:39" s="4" customFormat="1" ht="12" x14ac:dyDescent="0.2">
      <c r="A25" s="129" t="s">
        <v>19</v>
      </c>
      <c r="B25" s="127">
        <v>8846</v>
      </c>
      <c r="C25" s="127"/>
      <c r="D25" s="129" t="s">
        <v>101</v>
      </c>
      <c r="E25" s="126" t="s">
        <v>77</v>
      </c>
      <c r="F25" s="129" t="s">
        <v>52</v>
      </c>
      <c r="G25" s="129" t="s">
        <v>53</v>
      </c>
      <c r="H25" s="128">
        <v>315470</v>
      </c>
      <c r="I25" s="131" t="s">
        <v>23</v>
      </c>
      <c r="J25" s="129" t="s">
        <v>25</v>
      </c>
      <c r="K25" s="129" t="s">
        <v>67</v>
      </c>
      <c r="L25" s="129" t="s">
        <v>78</v>
      </c>
      <c r="M25" s="131" t="s">
        <v>28</v>
      </c>
      <c r="N25" s="128">
        <v>100</v>
      </c>
      <c r="O25" s="128">
        <v>50</v>
      </c>
      <c r="P25" s="128">
        <f t="shared" ref="P25:P50" si="6">T25*N25</f>
        <v>200</v>
      </c>
      <c r="Q25" s="137">
        <f>(116080*(O25/100)/12)</f>
        <v>4836.666666666667</v>
      </c>
      <c r="R25" s="134">
        <v>45200</v>
      </c>
      <c r="S25" s="134">
        <v>45351</v>
      </c>
      <c r="T25" s="140">
        <v>2</v>
      </c>
      <c r="U25" s="150">
        <f t="shared" si="4"/>
        <v>11414.533333333333</v>
      </c>
      <c r="V25" s="151"/>
      <c r="W25" s="150">
        <v>0</v>
      </c>
      <c r="X25" s="152">
        <f t="shared" ref="X25:X28" si="7">U25-W25</f>
        <v>11414.533333333333</v>
      </c>
      <c r="Y25" s="154" t="s">
        <v>328</v>
      </c>
      <c r="Z25" s="222"/>
      <c r="AA25" s="205"/>
      <c r="AB25" s="205"/>
      <c r="AC25" s="205"/>
      <c r="AD25" s="205"/>
      <c r="AE25" s="205"/>
      <c r="AF25" s="205"/>
      <c r="AG25" s="205"/>
      <c r="AH25" s="205"/>
      <c r="AI25" s="205"/>
      <c r="AJ25" s="205"/>
      <c r="AK25" s="205"/>
      <c r="AL25" s="205"/>
      <c r="AM25" s="87"/>
    </row>
    <row r="26" spans="1:39" s="3" customFormat="1" ht="12" x14ac:dyDescent="0.2">
      <c r="A26" s="129" t="s">
        <v>19</v>
      </c>
      <c r="B26" s="127">
        <v>8846</v>
      </c>
      <c r="C26" s="127"/>
      <c r="D26" s="129" t="s">
        <v>261</v>
      </c>
      <c r="E26" s="126" t="s">
        <v>77</v>
      </c>
      <c r="F26" s="129" t="s">
        <v>56</v>
      </c>
      <c r="G26" s="129" t="s">
        <v>57</v>
      </c>
      <c r="H26" s="148">
        <v>315446</v>
      </c>
      <c r="I26" s="131" t="s">
        <v>23</v>
      </c>
      <c r="J26" s="129" t="s">
        <v>27</v>
      </c>
      <c r="K26" s="129" t="s">
        <v>67</v>
      </c>
      <c r="L26" s="129" t="s">
        <v>50</v>
      </c>
      <c r="M26" s="131" t="s">
        <v>28</v>
      </c>
      <c r="N26" s="128">
        <v>100</v>
      </c>
      <c r="O26" s="128">
        <v>50</v>
      </c>
      <c r="P26" s="128">
        <f t="shared" si="6"/>
        <v>300</v>
      </c>
      <c r="Q26" s="137">
        <f>(123371*(O26/100)/12)</f>
        <v>5140.458333333333</v>
      </c>
      <c r="R26" s="134">
        <v>45200</v>
      </c>
      <c r="S26" s="134">
        <v>45382</v>
      </c>
      <c r="T26" s="140">
        <v>3</v>
      </c>
      <c r="U26" s="150">
        <f t="shared" si="4"/>
        <v>18197.2225</v>
      </c>
      <c r="V26" s="155"/>
      <c r="W26" s="150">
        <v>0</v>
      </c>
      <c r="X26" s="152">
        <f t="shared" si="7"/>
        <v>18197.2225</v>
      </c>
      <c r="Y26" s="138"/>
      <c r="Z26" s="222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</row>
    <row r="27" spans="1:39" s="21" customFormat="1" ht="12" x14ac:dyDescent="0.2">
      <c r="A27" s="129" t="s">
        <v>19</v>
      </c>
      <c r="B27" s="127">
        <v>8846</v>
      </c>
      <c r="C27" s="127"/>
      <c r="D27" s="129" t="s">
        <v>29</v>
      </c>
      <c r="E27" s="126" t="s">
        <v>77</v>
      </c>
      <c r="F27" s="129" t="s">
        <v>58</v>
      </c>
      <c r="G27" s="129" t="s">
        <v>59</v>
      </c>
      <c r="H27" s="148">
        <v>321997</v>
      </c>
      <c r="I27" s="131" t="s">
        <v>23</v>
      </c>
      <c r="J27" s="129" t="s">
        <v>27</v>
      </c>
      <c r="K27" s="129" t="s">
        <v>67</v>
      </c>
      <c r="L27" s="129" t="s">
        <v>30</v>
      </c>
      <c r="M27" s="131" t="s">
        <v>28</v>
      </c>
      <c r="N27" s="128">
        <v>100</v>
      </c>
      <c r="O27" s="128">
        <v>50</v>
      </c>
      <c r="P27" s="128">
        <f t="shared" si="6"/>
        <v>300</v>
      </c>
      <c r="Q27" s="137">
        <f>(114164*(O27/100)/12)</f>
        <v>4756.833333333333</v>
      </c>
      <c r="R27" s="134">
        <v>45200</v>
      </c>
      <c r="S27" s="134">
        <v>45382</v>
      </c>
      <c r="T27" s="140">
        <v>3</v>
      </c>
      <c r="U27" s="150">
        <f t="shared" si="4"/>
        <v>16839.189999999999</v>
      </c>
      <c r="V27" s="136"/>
      <c r="W27" s="150">
        <v>0</v>
      </c>
      <c r="X27" s="152">
        <f t="shared" si="7"/>
        <v>16839.189999999999</v>
      </c>
      <c r="Y27" s="157"/>
      <c r="Z27" s="222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</row>
    <row r="28" spans="1:39" s="21" customFormat="1" ht="12" x14ac:dyDescent="0.2">
      <c r="A28" s="129" t="s">
        <v>19</v>
      </c>
      <c r="B28" s="127">
        <v>8846</v>
      </c>
      <c r="C28" s="127"/>
      <c r="D28" s="129" t="s">
        <v>29</v>
      </c>
      <c r="E28" s="126" t="s">
        <v>131</v>
      </c>
      <c r="F28" s="129" t="s">
        <v>58</v>
      </c>
      <c r="G28" s="129" t="s">
        <v>59</v>
      </c>
      <c r="H28" s="148">
        <v>321997</v>
      </c>
      <c r="I28" s="131" t="s">
        <v>23</v>
      </c>
      <c r="J28" s="129" t="s">
        <v>27</v>
      </c>
      <c r="K28" s="129" t="s">
        <v>67</v>
      </c>
      <c r="L28" s="129" t="s">
        <v>50</v>
      </c>
      <c r="M28" s="131" t="s">
        <v>28</v>
      </c>
      <c r="N28" s="128">
        <v>100</v>
      </c>
      <c r="O28" s="128">
        <v>50</v>
      </c>
      <c r="P28" s="128">
        <f t="shared" si="6"/>
        <v>600</v>
      </c>
      <c r="Q28" s="137">
        <f>(114164*(O28/100)/12)</f>
        <v>4756.833333333333</v>
      </c>
      <c r="R28" s="134">
        <v>45383</v>
      </c>
      <c r="S28" s="134">
        <v>45565</v>
      </c>
      <c r="T28" s="140">
        <v>6</v>
      </c>
      <c r="U28" s="150">
        <f t="shared" si="4"/>
        <v>33678.379999999997</v>
      </c>
      <c r="V28" s="136"/>
      <c r="W28" s="150">
        <v>0</v>
      </c>
      <c r="X28" s="152">
        <f t="shared" si="7"/>
        <v>33678.379999999997</v>
      </c>
      <c r="Y28" s="157"/>
      <c r="Z28" s="222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</row>
    <row r="29" spans="1:39" s="3" customFormat="1" ht="12" x14ac:dyDescent="0.2">
      <c r="A29" s="129" t="s">
        <v>19</v>
      </c>
      <c r="B29" s="127">
        <v>8846</v>
      </c>
      <c r="C29" s="127"/>
      <c r="D29" s="129" t="s">
        <v>26</v>
      </c>
      <c r="E29" s="126" t="s">
        <v>131</v>
      </c>
      <c r="F29" s="129" t="s">
        <v>83</v>
      </c>
      <c r="G29" s="129" t="s">
        <v>84</v>
      </c>
      <c r="H29" s="148">
        <v>325160</v>
      </c>
      <c r="I29" s="131" t="s">
        <v>23</v>
      </c>
      <c r="J29" s="129" t="s">
        <v>25</v>
      </c>
      <c r="K29" s="149" t="s">
        <v>67</v>
      </c>
      <c r="L29" s="129" t="s">
        <v>51</v>
      </c>
      <c r="M29" s="131" t="s">
        <v>32</v>
      </c>
      <c r="N29" s="128">
        <v>100</v>
      </c>
      <c r="O29" s="128">
        <v>100</v>
      </c>
      <c r="P29" s="128">
        <f t="shared" si="6"/>
        <v>600</v>
      </c>
      <c r="Q29" s="137">
        <f t="shared" ref="Q29:Q35" si="8">(112250*(O29/100)/12)</f>
        <v>9354.1666666666661</v>
      </c>
      <c r="R29" s="134">
        <v>45292</v>
      </c>
      <c r="S29" s="134">
        <v>45473</v>
      </c>
      <c r="T29" s="140">
        <v>6</v>
      </c>
      <c r="U29" s="150">
        <f t="shared" si="4"/>
        <v>66227.5</v>
      </c>
      <c r="V29" s="136" t="s">
        <v>216</v>
      </c>
      <c r="W29" s="150">
        <f>U29/2</f>
        <v>33113.75</v>
      </c>
      <c r="X29" s="152">
        <f>U29-W29</f>
        <v>33113.75</v>
      </c>
      <c r="Y29" s="138"/>
      <c r="Z29" s="222" t="s">
        <v>216</v>
      </c>
      <c r="AA29" s="205">
        <v>5458.9</v>
      </c>
      <c r="AB29" s="205">
        <v>5458.9</v>
      </c>
      <c r="AC29" s="205">
        <v>5458.9</v>
      </c>
      <c r="AD29" s="205">
        <v>5458.9</v>
      </c>
      <c r="AE29" s="205">
        <v>5458.9</v>
      </c>
      <c r="AF29" s="205">
        <v>5458.9</v>
      </c>
      <c r="AG29" s="205"/>
      <c r="AH29" s="205"/>
      <c r="AI29" s="205"/>
      <c r="AJ29" s="205"/>
      <c r="AK29" s="205"/>
      <c r="AL29" s="205"/>
      <c r="AM29" s="85">
        <f>SUM(AA29:AF29)</f>
        <v>32753.4</v>
      </c>
    </row>
    <row r="30" spans="1:39" s="21" customFormat="1" ht="12" x14ac:dyDescent="0.2">
      <c r="A30" s="129" t="s">
        <v>19</v>
      </c>
      <c r="B30" s="127">
        <v>8846</v>
      </c>
      <c r="C30" s="127"/>
      <c r="D30" s="129" t="s">
        <v>26</v>
      </c>
      <c r="E30" s="126" t="s">
        <v>131</v>
      </c>
      <c r="F30" s="129" t="s">
        <v>83</v>
      </c>
      <c r="G30" s="129" t="s">
        <v>84</v>
      </c>
      <c r="H30" s="148">
        <v>325160</v>
      </c>
      <c r="I30" s="131" t="s">
        <v>23</v>
      </c>
      <c r="J30" s="129" t="s">
        <v>31</v>
      </c>
      <c r="K30" s="129" t="s">
        <v>68</v>
      </c>
      <c r="L30" s="129" t="s">
        <v>227</v>
      </c>
      <c r="M30" s="131" t="s">
        <v>32</v>
      </c>
      <c r="N30" s="128">
        <v>100</v>
      </c>
      <c r="O30" s="128">
        <v>100</v>
      </c>
      <c r="P30" s="128">
        <f t="shared" si="6"/>
        <v>600</v>
      </c>
      <c r="Q30" s="137">
        <f t="shared" si="8"/>
        <v>9354.1666666666661</v>
      </c>
      <c r="R30" s="134">
        <v>45474</v>
      </c>
      <c r="S30" s="134">
        <v>45657</v>
      </c>
      <c r="T30" s="140">
        <v>6</v>
      </c>
      <c r="U30" s="150">
        <f t="shared" si="4"/>
        <v>66227.5</v>
      </c>
      <c r="V30" s="155" t="s">
        <v>339</v>
      </c>
      <c r="W30" s="150">
        <v>24000</v>
      </c>
      <c r="X30" s="152">
        <f>U30-W30</f>
        <v>42227.5</v>
      </c>
      <c r="Y30" s="157"/>
      <c r="Z30" s="222" t="s">
        <v>339</v>
      </c>
      <c r="AA30" s="206"/>
      <c r="AB30" s="206"/>
      <c r="AC30" s="206"/>
      <c r="AD30" s="206"/>
      <c r="AE30" s="206"/>
      <c r="AF30" s="206"/>
      <c r="AG30" s="206">
        <v>4000</v>
      </c>
      <c r="AH30" s="206">
        <v>4000</v>
      </c>
      <c r="AI30" s="206">
        <v>4000</v>
      </c>
      <c r="AJ30" s="206">
        <v>4000</v>
      </c>
      <c r="AK30" s="206">
        <v>4000</v>
      </c>
      <c r="AL30" s="206">
        <v>4000</v>
      </c>
      <c r="AM30" s="223">
        <f>SUM(AG30:AL30)</f>
        <v>24000</v>
      </c>
    </row>
    <row r="31" spans="1:39" s="21" customFormat="1" ht="12" x14ac:dyDescent="0.2">
      <c r="A31" s="129" t="s">
        <v>19</v>
      </c>
      <c r="B31" s="127">
        <v>8846</v>
      </c>
      <c r="C31" s="127"/>
      <c r="D31" s="129" t="s">
        <v>26</v>
      </c>
      <c r="E31" s="126" t="s">
        <v>344</v>
      </c>
      <c r="F31" s="129" t="s">
        <v>83</v>
      </c>
      <c r="G31" s="129" t="s">
        <v>84</v>
      </c>
      <c r="H31" s="148">
        <v>325160</v>
      </c>
      <c r="I31" s="131" t="s">
        <v>23</v>
      </c>
      <c r="J31" s="129" t="s">
        <v>27</v>
      </c>
      <c r="K31" s="129" t="s">
        <v>67</v>
      </c>
      <c r="L31" s="129" t="s">
        <v>50</v>
      </c>
      <c r="M31" s="131" t="s">
        <v>28</v>
      </c>
      <c r="N31" s="128">
        <v>100</v>
      </c>
      <c r="O31" s="128">
        <v>50</v>
      </c>
      <c r="P31" s="128">
        <f t="shared" si="6"/>
        <v>0</v>
      </c>
      <c r="Q31" s="137">
        <f t="shared" si="8"/>
        <v>4677.083333333333</v>
      </c>
      <c r="R31" s="134">
        <v>45658</v>
      </c>
      <c r="S31" s="134">
        <v>45838</v>
      </c>
      <c r="T31" s="140">
        <v>0</v>
      </c>
      <c r="U31" s="150">
        <f t="shared" si="4"/>
        <v>0</v>
      </c>
      <c r="V31" s="155"/>
      <c r="W31" s="150">
        <v>0</v>
      </c>
      <c r="X31" s="152">
        <f>U31-W31</f>
        <v>0</v>
      </c>
      <c r="Y31" s="157"/>
      <c r="Z31" s="222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23"/>
    </row>
    <row r="32" spans="1:39" s="91" customFormat="1" ht="12" x14ac:dyDescent="0.2">
      <c r="A32" s="129" t="s">
        <v>19</v>
      </c>
      <c r="B32" s="127">
        <v>8846</v>
      </c>
      <c r="C32" s="158"/>
      <c r="D32" s="126" t="s">
        <v>26</v>
      </c>
      <c r="E32" s="126" t="s">
        <v>131</v>
      </c>
      <c r="F32" s="126" t="s">
        <v>228</v>
      </c>
      <c r="G32" s="126" t="s">
        <v>229</v>
      </c>
      <c r="H32" s="132" t="s">
        <v>288</v>
      </c>
      <c r="I32" s="126" t="s">
        <v>23</v>
      </c>
      <c r="J32" s="131" t="s">
        <v>27</v>
      </c>
      <c r="K32" s="131" t="s">
        <v>67</v>
      </c>
      <c r="L32" s="131" t="s">
        <v>30</v>
      </c>
      <c r="M32" s="131" t="s">
        <v>28</v>
      </c>
      <c r="N32" s="131">
        <v>100</v>
      </c>
      <c r="O32" s="131">
        <v>50</v>
      </c>
      <c r="P32" s="158">
        <f t="shared" si="6"/>
        <v>600</v>
      </c>
      <c r="Q32" s="137">
        <f t="shared" si="8"/>
        <v>4677.083333333333</v>
      </c>
      <c r="R32" s="134">
        <v>45292</v>
      </c>
      <c r="S32" s="134">
        <v>45473</v>
      </c>
      <c r="T32" s="140">
        <v>6</v>
      </c>
      <c r="U32" s="150">
        <f t="shared" si="4"/>
        <v>33113.75</v>
      </c>
      <c r="V32" s="136"/>
      <c r="W32" s="150">
        <v>0</v>
      </c>
      <c r="X32" s="152">
        <f t="shared" ref="X32:X47" si="9">U32-W32</f>
        <v>33113.75</v>
      </c>
      <c r="Y32" s="151"/>
      <c r="Z32" s="222"/>
      <c r="AA32" s="207"/>
      <c r="AB32" s="207"/>
      <c r="AC32" s="207"/>
      <c r="AD32" s="207"/>
      <c r="AE32" s="207"/>
      <c r="AF32" s="207"/>
      <c r="AG32" s="207"/>
      <c r="AH32" s="207"/>
      <c r="AI32" s="207"/>
      <c r="AJ32" s="207"/>
      <c r="AK32" s="207"/>
      <c r="AL32" s="207"/>
    </row>
    <row r="33" spans="1:39" s="91" customFormat="1" ht="12" x14ac:dyDescent="0.2">
      <c r="A33" s="129" t="s">
        <v>19</v>
      </c>
      <c r="B33" s="127">
        <v>8846</v>
      </c>
      <c r="C33" s="158"/>
      <c r="D33" s="126" t="s">
        <v>26</v>
      </c>
      <c r="E33" s="126" t="s">
        <v>131</v>
      </c>
      <c r="F33" s="126" t="s">
        <v>230</v>
      </c>
      <c r="G33" s="126" t="s">
        <v>229</v>
      </c>
      <c r="H33" s="132" t="s">
        <v>288</v>
      </c>
      <c r="I33" s="126" t="s">
        <v>23</v>
      </c>
      <c r="J33" s="131" t="s">
        <v>27</v>
      </c>
      <c r="K33" s="131" t="s">
        <v>67</v>
      </c>
      <c r="L33" s="131" t="s">
        <v>50</v>
      </c>
      <c r="M33" s="131" t="s">
        <v>28</v>
      </c>
      <c r="N33" s="131">
        <v>100</v>
      </c>
      <c r="O33" s="131">
        <v>50</v>
      </c>
      <c r="P33" s="158">
        <f t="shared" si="6"/>
        <v>600</v>
      </c>
      <c r="Q33" s="137">
        <f t="shared" si="8"/>
        <v>4677.083333333333</v>
      </c>
      <c r="R33" s="134">
        <v>45474</v>
      </c>
      <c r="S33" s="134">
        <v>45657</v>
      </c>
      <c r="T33" s="140">
        <v>6</v>
      </c>
      <c r="U33" s="150">
        <f t="shared" si="4"/>
        <v>33113.75</v>
      </c>
      <c r="V33" s="136"/>
      <c r="W33" s="150">
        <v>0</v>
      </c>
      <c r="X33" s="152">
        <f t="shared" si="9"/>
        <v>33113.75</v>
      </c>
      <c r="Y33" s="151"/>
      <c r="Z33" s="146"/>
      <c r="AA33" s="207"/>
      <c r="AB33" s="207"/>
      <c r="AC33" s="207"/>
      <c r="AD33" s="207"/>
      <c r="AE33" s="207"/>
      <c r="AF33" s="207"/>
      <c r="AG33" s="207"/>
      <c r="AH33" s="207"/>
      <c r="AI33" s="207"/>
      <c r="AJ33" s="207"/>
      <c r="AK33" s="207"/>
      <c r="AL33" s="207"/>
    </row>
    <row r="34" spans="1:39" s="91" customFormat="1" ht="12" x14ac:dyDescent="0.2">
      <c r="A34" s="129" t="s">
        <v>19</v>
      </c>
      <c r="B34" s="127">
        <v>8846</v>
      </c>
      <c r="C34" s="158"/>
      <c r="D34" s="126" t="s">
        <v>26</v>
      </c>
      <c r="E34" s="126" t="s">
        <v>344</v>
      </c>
      <c r="F34" s="126" t="s">
        <v>228</v>
      </c>
      <c r="G34" s="126" t="s">
        <v>229</v>
      </c>
      <c r="H34" s="132" t="s">
        <v>288</v>
      </c>
      <c r="I34" s="126" t="s">
        <v>23</v>
      </c>
      <c r="J34" s="131" t="s">
        <v>25</v>
      </c>
      <c r="K34" s="131" t="s">
        <v>67</v>
      </c>
      <c r="L34" s="131" t="s">
        <v>51</v>
      </c>
      <c r="M34" s="131" t="s">
        <v>32</v>
      </c>
      <c r="N34" s="131">
        <v>100</v>
      </c>
      <c r="O34" s="131">
        <v>100</v>
      </c>
      <c r="P34" s="158">
        <f t="shared" si="6"/>
        <v>0</v>
      </c>
      <c r="Q34" s="137">
        <f t="shared" si="8"/>
        <v>9354.1666666666661</v>
      </c>
      <c r="R34" s="134">
        <v>45658</v>
      </c>
      <c r="S34" s="134">
        <v>45838</v>
      </c>
      <c r="T34" s="140">
        <v>0</v>
      </c>
      <c r="U34" s="150">
        <f t="shared" si="4"/>
        <v>0</v>
      </c>
      <c r="V34" s="136"/>
      <c r="W34" s="159"/>
      <c r="X34" s="152"/>
      <c r="Y34" s="151"/>
      <c r="Z34" s="146"/>
      <c r="AA34" s="207"/>
      <c r="AB34" s="207"/>
      <c r="AC34" s="207"/>
      <c r="AD34" s="207"/>
      <c r="AE34" s="207"/>
      <c r="AF34" s="207"/>
      <c r="AG34" s="207"/>
      <c r="AH34" s="207"/>
      <c r="AI34" s="207"/>
      <c r="AJ34" s="207"/>
      <c r="AK34" s="207"/>
      <c r="AL34" s="207"/>
    </row>
    <row r="35" spans="1:39" s="91" customFormat="1" ht="12" x14ac:dyDescent="0.2">
      <c r="A35" s="129" t="s">
        <v>19</v>
      </c>
      <c r="B35" s="127">
        <v>8846</v>
      </c>
      <c r="C35" s="158"/>
      <c r="D35" s="126" t="s">
        <v>26</v>
      </c>
      <c r="E35" s="126" t="s">
        <v>344</v>
      </c>
      <c r="F35" s="126" t="s">
        <v>228</v>
      </c>
      <c r="G35" s="126" t="s">
        <v>229</v>
      </c>
      <c r="H35" s="132" t="s">
        <v>288</v>
      </c>
      <c r="I35" s="126" t="s">
        <v>23</v>
      </c>
      <c r="J35" s="131" t="s">
        <v>31</v>
      </c>
      <c r="K35" s="131" t="s">
        <v>68</v>
      </c>
      <c r="L35" s="131"/>
      <c r="M35" s="131" t="s">
        <v>32</v>
      </c>
      <c r="N35" s="131">
        <v>100</v>
      </c>
      <c r="O35" s="131">
        <v>100</v>
      </c>
      <c r="P35" s="158">
        <f t="shared" ref="P35" si="10">T35*N35</f>
        <v>0</v>
      </c>
      <c r="Q35" s="137">
        <f t="shared" si="8"/>
        <v>9354.1666666666661</v>
      </c>
      <c r="R35" s="134">
        <v>45839</v>
      </c>
      <c r="S35" s="134">
        <v>46022</v>
      </c>
      <c r="T35" s="140">
        <v>0</v>
      </c>
      <c r="U35" s="150">
        <f t="shared" ref="U35" si="11">(Q35*T35)*1.18</f>
        <v>0</v>
      </c>
      <c r="V35" s="136"/>
      <c r="W35" s="159"/>
      <c r="X35" s="152"/>
      <c r="Y35" s="151"/>
      <c r="Z35" s="146"/>
      <c r="AA35" s="207"/>
      <c r="AB35" s="207"/>
      <c r="AC35" s="207"/>
      <c r="AD35" s="207"/>
      <c r="AE35" s="207"/>
      <c r="AF35" s="207"/>
      <c r="AG35" s="207"/>
      <c r="AH35" s="207"/>
      <c r="AI35" s="207"/>
      <c r="AJ35" s="207"/>
      <c r="AK35" s="207"/>
      <c r="AL35" s="207"/>
    </row>
    <row r="36" spans="1:39" s="91" customFormat="1" ht="12" x14ac:dyDescent="0.2">
      <c r="A36" s="129" t="s">
        <v>19</v>
      </c>
      <c r="B36" s="127">
        <v>8846</v>
      </c>
      <c r="C36" s="158"/>
      <c r="D36" s="126" t="s">
        <v>306</v>
      </c>
      <c r="E36" s="126" t="s">
        <v>131</v>
      </c>
      <c r="F36" s="126" t="s">
        <v>250</v>
      </c>
      <c r="G36" s="126" t="s">
        <v>251</v>
      </c>
      <c r="H36" s="132" t="s">
        <v>357</v>
      </c>
      <c r="I36" s="126" t="s">
        <v>23</v>
      </c>
      <c r="J36" s="131" t="s">
        <v>27</v>
      </c>
      <c r="K36" s="131" t="s">
        <v>67</v>
      </c>
      <c r="L36" s="131" t="s">
        <v>30</v>
      </c>
      <c r="M36" s="131" t="s">
        <v>28</v>
      </c>
      <c r="N36" s="131">
        <v>100</v>
      </c>
      <c r="O36" s="131">
        <v>50</v>
      </c>
      <c r="P36" s="158">
        <f t="shared" si="6"/>
        <v>600</v>
      </c>
      <c r="Q36" s="137">
        <f>(110335*(O36/100)/12)</f>
        <v>4597.291666666667</v>
      </c>
      <c r="R36" s="134">
        <v>45383</v>
      </c>
      <c r="S36" s="134">
        <v>45565</v>
      </c>
      <c r="T36" s="140">
        <v>6</v>
      </c>
      <c r="U36" s="150">
        <f t="shared" si="4"/>
        <v>32548.824999999997</v>
      </c>
      <c r="V36" s="136"/>
      <c r="W36" s="159">
        <v>0</v>
      </c>
      <c r="X36" s="152">
        <f t="shared" si="9"/>
        <v>32548.824999999997</v>
      </c>
      <c r="Y36" s="151"/>
      <c r="Z36" s="146"/>
      <c r="AA36" s="207"/>
      <c r="AB36" s="207"/>
      <c r="AC36" s="207"/>
      <c r="AD36" s="207"/>
      <c r="AE36" s="207"/>
      <c r="AF36" s="207"/>
      <c r="AG36" s="207"/>
      <c r="AH36" s="207"/>
      <c r="AI36" s="207"/>
      <c r="AJ36" s="207"/>
      <c r="AK36" s="207"/>
      <c r="AL36" s="207"/>
    </row>
    <row r="37" spans="1:39" s="91" customFormat="1" ht="12" x14ac:dyDescent="0.2">
      <c r="A37" s="129" t="s">
        <v>19</v>
      </c>
      <c r="B37" s="127">
        <v>8846</v>
      </c>
      <c r="C37" s="158"/>
      <c r="D37" s="126" t="s">
        <v>307</v>
      </c>
      <c r="E37" s="126" t="s">
        <v>131</v>
      </c>
      <c r="F37" s="126" t="s">
        <v>250</v>
      </c>
      <c r="G37" s="126" t="s">
        <v>251</v>
      </c>
      <c r="H37" s="132" t="s">
        <v>357</v>
      </c>
      <c r="I37" s="126" t="s">
        <v>23</v>
      </c>
      <c r="J37" s="131" t="s">
        <v>27</v>
      </c>
      <c r="K37" s="131" t="s">
        <v>67</v>
      </c>
      <c r="L37" s="131" t="s">
        <v>360</v>
      </c>
      <c r="M37" s="131" t="s">
        <v>28</v>
      </c>
      <c r="N37" s="131">
        <v>100</v>
      </c>
      <c r="O37" s="131">
        <v>100</v>
      </c>
      <c r="P37" s="158">
        <f t="shared" si="6"/>
        <v>300</v>
      </c>
      <c r="Q37" s="137">
        <f>(110335*(O37/100)/12)</f>
        <v>9194.5833333333339</v>
      </c>
      <c r="R37" s="134">
        <v>45566</v>
      </c>
      <c r="S37" s="134">
        <v>45747</v>
      </c>
      <c r="T37" s="140">
        <v>3</v>
      </c>
      <c r="U37" s="150">
        <f t="shared" si="4"/>
        <v>32548.824999999997</v>
      </c>
      <c r="V37" s="136"/>
      <c r="W37" s="159">
        <v>0</v>
      </c>
      <c r="X37" s="152">
        <f t="shared" si="9"/>
        <v>32548.824999999997</v>
      </c>
      <c r="Y37" s="151"/>
      <c r="Z37" s="146"/>
      <c r="AA37" s="207"/>
      <c r="AB37" s="207"/>
      <c r="AC37" s="207"/>
      <c r="AD37" s="207"/>
      <c r="AE37" s="207"/>
      <c r="AF37" s="207"/>
      <c r="AG37" s="207"/>
      <c r="AH37" s="207"/>
      <c r="AI37" s="207"/>
      <c r="AJ37" s="207"/>
      <c r="AK37" s="207"/>
      <c r="AL37" s="207"/>
    </row>
    <row r="38" spans="1:39" s="91" customFormat="1" ht="12" x14ac:dyDescent="0.2">
      <c r="A38" s="129" t="s">
        <v>19</v>
      </c>
      <c r="B38" s="127">
        <v>8846</v>
      </c>
      <c r="C38" s="158"/>
      <c r="D38" s="126" t="s">
        <v>306</v>
      </c>
      <c r="E38" s="126" t="s">
        <v>344</v>
      </c>
      <c r="F38" s="126" t="s">
        <v>250</v>
      </c>
      <c r="G38" s="126" t="s">
        <v>251</v>
      </c>
      <c r="H38" s="132" t="s">
        <v>357</v>
      </c>
      <c r="I38" s="126" t="s">
        <v>23</v>
      </c>
      <c r="J38" s="131" t="s">
        <v>27</v>
      </c>
      <c r="K38" s="131" t="s">
        <v>67</v>
      </c>
      <c r="L38" s="131" t="s">
        <v>50</v>
      </c>
      <c r="M38" s="131" t="s">
        <v>28</v>
      </c>
      <c r="N38" s="131">
        <v>100</v>
      </c>
      <c r="O38" s="131">
        <v>50</v>
      </c>
      <c r="P38" s="158">
        <f t="shared" si="6"/>
        <v>0</v>
      </c>
      <c r="Q38" s="137">
        <f>(110335*(O38/100)/12)</f>
        <v>4597.291666666667</v>
      </c>
      <c r="R38" s="134">
        <v>45931</v>
      </c>
      <c r="S38" s="134">
        <v>46112</v>
      </c>
      <c r="T38" s="140">
        <v>0</v>
      </c>
      <c r="U38" s="150">
        <f t="shared" si="4"/>
        <v>0</v>
      </c>
      <c r="V38" s="136"/>
      <c r="W38" s="159"/>
      <c r="X38" s="152"/>
      <c r="Y38" s="151"/>
      <c r="Z38" s="146"/>
      <c r="AA38" s="207"/>
      <c r="AB38" s="207"/>
      <c r="AC38" s="207"/>
      <c r="AD38" s="207"/>
      <c r="AE38" s="207"/>
      <c r="AF38" s="207"/>
      <c r="AG38" s="207"/>
      <c r="AH38" s="207"/>
      <c r="AI38" s="207"/>
      <c r="AJ38" s="207"/>
      <c r="AK38" s="207"/>
      <c r="AL38" s="207"/>
    </row>
    <row r="39" spans="1:39" s="91" customFormat="1" ht="12" x14ac:dyDescent="0.2">
      <c r="A39" s="129" t="s">
        <v>19</v>
      </c>
      <c r="B39" s="127">
        <v>8846</v>
      </c>
      <c r="C39" s="158"/>
      <c r="D39" s="126"/>
      <c r="E39" s="126" t="s">
        <v>131</v>
      </c>
      <c r="F39" s="126" t="s">
        <v>231</v>
      </c>
      <c r="G39" s="126" t="s">
        <v>108</v>
      </c>
      <c r="H39" s="132"/>
      <c r="I39" s="126" t="s">
        <v>23</v>
      </c>
      <c r="J39" s="131" t="s">
        <v>27</v>
      </c>
      <c r="K39" s="131" t="s">
        <v>67</v>
      </c>
      <c r="L39" s="131" t="s">
        <v>30</v>
      </c>
      <c r="M39" s="131" t="s">
        <v>28</v>
      </c>
      <c r="N39" s="131">
        <v>100</v>
      </c>
      <c r="O39" s="131">
        <v>50</v>
      </c>
      <c r="P39" s="158">
        <f t="shared" si="6"/>
        <v>600</v>
      </c>
      <c r="Q39" s="137">
        <f t="shared" ref="Q39:Q48" si="12">(111029*(O39/100)/12)</f>
        <v>4626.208333333333</v>
      </c>
      <c r="R39" s="134">
        <v>45474</v>
      </c>
      <c r="S39" s="134">
        <v>45657</v>
      </c>
      <c r="T39" s="140">
        <v>6</v>
      </c>
      <c r="U39" s="150">
        <f t="shared" si="4"/>
        <v>32753.554999999997</v>
      </c>
      <c r="V39" s="136"/>
      <c r="W39" s="159">
        <v>0</v>
      </c>
      <c r="X39" s="152">
        <f t="shared" si="9"/>
        <v>32753.554999999997</v>
      </c>
      <c r="Y39" s="151"/>
      <c r="Z39" s="146"/>
      <c r="AA39" s="207"/>
      <c r="AB39" s="207"/>
      <c r="AC39" s="207"/>
      <c r="AD39" s="207"/>
      <c r="AE39" s="207"/>
      <c r="AF39" s="207"/>
      <c r="AG39" s="207"/>
      <c r="AH39" s="207"/>
      <c r="AI39" s="207"/>
      <c r="AJ39" s="207"/>
      <c r="AK39" s="207"/>
      <c r="AL39" s="207"/>
    </row>
    <row r="40" spans="1:39" s="91" customFormat="1" ht="12" x14ac:dyDescent="0.2">
      <c r="A40" s="129" t="s">
        <v>19</v>
      </c>
      <c r="B40" s="127">
        <v>8846</v>
      </c>
      <c r="C40" s="158"/>
      <c r="D40" s="126"/>
      <c r="E40" s="126" t="s">
        <v>344</v>
      </c>
      <c r="F40" s="126" t="s">
        <v>231</v>
      </c>
      <c r="G40" s="126" t="s">
        <v>108</v>
      </c>
      <c r="H40" s="132"/>
      <c r="I40" s="126" t="s">
        <v>23</v>
      </c>
      <c r="J40" s="131" t="s">
        <v>31</v>
      </c>
      <c r="K40" s="131" t="s">
        <v>68</v>
      </c>
      <c r="L40" s="131"/>
      <c r="M40" s="131" t="s">
        <v>32</v>
      </c>
      <c r="N40" s="131">
        <v>100</v>
      </c>
      <c r="O40" s="131">
        <v>100</v>
      </c>
      <c r="P40" s="158">
        <f t="shared" si="6"/>
        <v>0</v>
      </c>
      <c r="Q40" s="137"/>
      <c r="R40" s="134">
        <v>45658</v>
      </c>
      <c r="S40" s="134">
        <v>45838</v>
      </c>
      <c r="T40" s="140">
        <v>0</v>
      </c>
      <c r="U40" s="150"/>
      <c r="V40" s="136"/>
      <c r="W40" s="159"/>
      <c r="X40" s="152"/>
      <c r="Y40" s="151"/>
      <c r="Z40" s="146"/>
      <c r="AA40" s="207"/>
      <c r="AB40" s="207"/>
      <c r="AC40" s="207"/>
      <c r="AD40" s="207"/>
      <c r="AE40" s="207"/>
      <c r="AF40" s="207"/>
      <c r="AG40" s="207"/>
      <c r="AH40" s="207"/>
      <c r="AI40" s="207"/>
      <c r="AJ40" s="207"/>
      <c r="AK40" s="207"/>
      <c r="AL40" s="207"/>
    </row>
    <row r="41" spans="1:39" s="91" customFormat="1" ht="12" x14ac:dyDescent="0.2">
      <c r="A41" s="129" t="s">
        <v>19</v>
      </c>
      <c r="B41" s="127">
        <v>8846</v>
      </c>
      <c r="C41" s="158"/>
      <c r="D41" s="126"/>
      <c r="E41" s="126" t="s">
        <v>344</v>
      </c>
      <c r="F41" s="126" t="s">
        <v>231</v>
      </c>
      <c r="G41" s="126" t="s">
        <v>108</v>
      </c>
      <c r="H41" s="132"/>
      <c r="I41" s="126" t="s">
        <v>23</v>
      </c>
      <c r="J41" s="131" t="s">
        <v>25</v>
      </c>
      <c r="K41" s="131" t="s">
        <v>67</v>
      </c>
      <c r="L41" s="131" t="s">
        <v>51</v>
      </c>
      <c r="M41" s="131" t="s">
        <v>32</v>
      </c>
      <c r="N41" s="131">
        <v>100</v>
      </c>
      <c r="O41" s="131">
        <v>100</v>
      </c>
      <c r="P41" s="158">
        <f t="shared" si="6"/>
        <v>0</v>
      </c>
      <c r="Q41" s="137"/>
      <c r="R41" s="134">
        <v>45839</v>
      </c>
      <c r="S41" s="134">
        <v>46022</v>
      </c>
      <c r="T41" s="140">
        <v>0</v>
      </c>
      <c r="U41" s="150"/>
      <c r="V41" s="136"/>
      <c r="W41" s="159"/>
      <c r="X41" s="152"/>
      <c r="Y41" s="151"/>
      <c r="Z41" s="146"/>
      <c r="AA41" s="207"/>
      <c r="AB41" s="207"/>
      <c r="AC41" s="207"/>
      <c r="AD41" s="207"/>
      <c r="AE41" s="207"/>
      <c r="AF41" s="207"/>
      <c r="AG41" s="207"/>
      <c r="AH41" s="207"/>
      <c r="AI41" s="207"/>
      <c r="AJ41" s="207"/>
      <c r="AK41" s="207"/>
      <c r="AL41" s="207"/>
    </row>
    <row r="42" spans="1:39" s="91" customFormat="1" ht="12" x14ac:dyDescent="0.2">
      <c r="A42" s="129" t="s">
        <v>19</v>
      </c>
      <c r="B42" s="127">
        <v>8846</v>
      </c>
      <c r="C42" s="158"/>
      <c r="D42" s="126"/>
      <c r="E42" s="126" t="s">
        <v>359</v>
      </c>
      <c r="F42" s="126" t="s">
        <v>231</v>
      </c>
      <c r="G42" s="126" t="s">
        <v>108</v>
      </c>
      <c r="H42" s="132"/>
      <c r="I42" s="126" t="s">
        <v>23</v>
      </c>
      <c r="J42" s="131" t="s">
        <v>27</v>
      </c>
      <c r="K42" s="131" t="s">
        <v>67</v>
      </c>
      <c r="L42" s="131" t="s">
        <v>50</v>
      </c>
      <c r="M42" s="131" t="s">
        <v>28</v>
      </c>
      <c r="N42" s="131">
        <v>100</v>
      </c>
      <c r="O42" s="131">
        <v>50</v>
      </c>
      <c r="P42" s="158">
        <f t="shared" si="6"/>
        <v>0</v>
      </c>
      <c r="Q42" s="137"/>
      <c r="R42" s="134">
        <v>46023</v>
      </c>
      <c r="S42" s="134">
        <v>46203</v>
      </c>
      <c r="T42" s="140">
        <v>0</v>
      </c>
      <c r="U42" s="150"/>
      <c r="V42" s="136"/>
      <c r="W42" s="159"/>
      <c r="X42" s="152"/>
      <c r="Y42" s="151"/>
      <c r="Z42" s="146"/>
      <c r="AA42" s="207"/>
      <c r="AB42" s="207"/>
      <c r="AC42" s="207"/>
      <c r="AD42" s="207"/>
      <c r="AE42" s="207"/>
      <c r="AF42" s="207"/>
      <c r="AG42" s="207"/>
      <c r="AH42" s="207"/>
      <c r="AI42" s="207"/>
      <c r="AJ42" s="207"/>
      <c r="AK42" s="207"/>
      <c r="AL42" s="207"/>
    </row>
    <row r="43" spans="1:39" s="91" customFormat="1" ht="12" x14ac:dyDescent="0.2">
      <c r="A43" s="129" t="s">
        <v>19</v>
      </c>
      <c r="B43" s="127">
        <v>8846</v>
      </c>
      <c r="C43" s="158"/>
      <c r="D43" s="126" t="s">
        <v>241</v>
      </c>
      <c r="E43" s="126" t="s">
        <v>131</v>
      </c>
      <c r="F43" s="126" t="s">
        <v>270</v>
      </c>
      <c r="G43" s="126" t="s">
        <v>271</v>
      </c>
      <c r="H43" s="132"/>
      <c r="I43" s="126" t="s">
        <v>23</v>
      </c>
      <c r="J43" s="131" t="s">
        <v>27</v>
      </c>
      <c r="K43" s="131" t="s">
        <v>67</v>
      </c>
      <c r="L43" s="131" t="s">
        <v>50</v>
      </c>
      <c r="M43" s="131" t="s">
        <v>28</v>
      </c>
      <c r="N43" s="131">
        <v>100</v>
      </c>
      <c r="O43" s="131">
        <v>50</v>
      </c>
      <c r="P43" s="158">
        <f t="shared" si="6"/>
        <v>300</v>
      </c>
      <c r="Q43" s="137">
        <f>(103205*(O43/100)/12)</f>
        <v>4300.208333333333</v>
      </c>
      <c r="R43" s="134">
        <v>45566</v>
      </c>
      <c r="S43" s="134">
        <v>45747</v>
      </c>
      <c r="T43" s="140">
        <v>3</v>
      </c>
      <c r="U43" s="150">
        <f t="shared" si="4"/>
        <v>15222.737499999999</v>
      </c>
      <c r="V43" s="136"/>
      <c r="W43" s="159">
        <v>0</v>
      </c>
      <c r="X43" s="152">
        <f t="shared" si="9"/>
        <v>15222.737499999999</v>
      </c>
      <c r="Y43" s="151"/>
      <c r="Z43" s="146"/>
      <c r="AA43" s="207"/>
      <c r="AB43" s="207"/>
      <c r="AC43" s="207"/>
      <c r="AD43" s="208"/>
      <c r="AE43" s="208"/>
      <c r="AF43" s="208"/>
      <c r="AG43" s="208"/>
      <c r="AH43" s="208"/>
      <c r="AI43" s="208"/>
      <c r="AJ43" s="208"/>
      <c r="AK43" s="208"/>
      <c r="AL43" s="208"/>
      <c r="AM43" s="88"/>
    </row>
    <row r="44" spans="1:39" s="91" customFormat="1" ht="12" x14ac:dyDescent="0.2">
      <c r="A44" s="129" t="s">
        <v>19</v>
      </c>
      <c r="B44" s="127">
        <v>8846</v>
      </c>
      <c r="C44" s="158"/>
      <c r="D44" s="126" t="s">
        <v>241</v>
      </c>
      <c r="E44" s="126" t="s">
        <v>344</v>
      </c>
      <c r="F44" s="126" t="s">
        <v>270</v>
      </c>
      <c r="G44" s="126" t="s">
        <v>271</v>
      </c>
      <c r="H44" s="132"/>
      <c r="I44" s="126" t="s">
        <v>23</v>
      </c>
      <c r="J44" s="131" t="s">
        <v>25</v>
      </c>
      <c r="K44" s="131" t="s">
        <v>67</v>
      </c>
      <c r="L44" s="131" t="s">
        <v>358</v>
      </c>
      <c r="M44" s="131"/>
      <c r="N44" s="131">
        <v>100</v>
      </c>
      <c r="O44" s="131">
        <v>100</v>
      </c>
      <c r="P44" s="158">
        <f t="shared" si="6"/>
        <v>0</v>
      </c>
      <c r="Q44" s="137">
        <f>(103205*(O44/100)/12)</f>
        <v>8600.4166666666661</v>
      </c>
      <c r="R44" s="134">
        <v>45748</v>
      </c>
      <c r="S44" s="134">
        <v>45930</v>
      </c>
      <c r="T44" s="140">
        <v>0</v>
      </c>
      <c r="U44" s="150">
        <f t="shared" si="4"/>
        <v>0</v>
      </c>
      <c r="V44" s="136"/>
      <c r="W44" s="159"/>
      <c r="X44" s="152"/>
      <c r="Y44" s="151"/>
      <c r="Z44" s="146"/>
      <c r="AA44" s="207"/>
      <c r="AB44" s="207"/>
      <c r="AC44" s="207"/>
      <c r="AD44" s="208"/>
      <c r="AE44" s="208"/>
      <c r="AF44" s="208"/>
      <c r="AG44" s="208"/>
      <c r="AH44" s="208"/>
      <c r="AI44" s="208"/>
      <c r="AJ44" s="208"/>
      <c r="AK44" s="208"/>
      <c r="AL44" s="208"/>
      <c r="AM44" s="88"/>
    </row>
    <row r="45" spans="1:39" s="91" customFormat="1" ht="12" x14ac:dyDescent="0.2">
      <c r="A45" s="129" t="s">
        <v>19</v>
      </c>
      <c r="B45" s="127">
        <v>8846</v>
      </c>
      <c r="C45" s="158"/>
      <c r="D45" s="126" t="s">
        <v>241</v>
      </c>
      <c r="E45" s="126" t="s">
        <v>131</v>
      </c>
      <c r="F45" s="126" t="s">
        <v>270</v>
      </c>
      <c r="G45" s="126" t="s">
        <v>271</v>
      </c>
      <c r="H45" s="132"/>
      <c r="I45" s="126" t="s">
        <v>23</v>
      </c>
      <c r="J45" s="131" t="s">
        <v>27</v>
      </c>
      <c r="K45" s="131" t="s">
        <v>67</v>
      </c>
      <c r="L45" s="131" t="s">
        <v>30</v>
      </c>
      <c r="M45" s="131" t="s">
        <v>28</v>
      </c>
      <c r="N45" s="131">
        <v>100</v>
      </c>
      <c r="O45" s="131">
        <v>50</v>
      </c>
      <c r="P45" s="158">
        <f t="shared" ref="P45:P46" si="13">T45*N45</f>
        <v>300</v>
      </c>
      <c r="Q45" s="137">
        <f>(103205*(O45/100)/12)</f>
        <v>4300.208333333333</v>
      </c>
      <c r="R45" s="134">
        <v>45566</v>
      </c>
      <c r="S45" s="134">
        <v>45747</v>
      </c>
      <c r="T45" s="140">
        <v>3</v>
      </c>
      <c r="U45" s="150">
        <f t="shared" ref="U45:U46" si="14">(Q45*T45)*1.18</f>
        <v>15222.737499999999</v>
      </c>
      <c r="V45" s="136"/>
      <c r="W45" s="159">
        <v>0</v>
      </c>
      <c r="X45" s="152">
        <f t="shared" ref="X45" si="15">U45-W45</f>
        <v>15222.737499999999</v>
      </c>
      <c r="Y45" s="151"/>
      <c r="Z45" s="146"/>
      <c r="AA45" s="207"/>
      <c r="AB45" s="207"/>
      <c r="AC45" s="207"/>
      <c r="AD45" s="208"/>
      <c r="AE45" s="208"/>
      <c r="AF45" s="208"/>
      <c r="AG45" s="208"/>
      <c r="AH45" s="208"/>
      <c r="AI45" s="208"/>
      <c r="AJ45" s="208"/>
      <c r="AK45" s="208"/>
      <c r="AL45" s="208"/>
      <c r="AM45" s="88"/>
    </row>
    <row r="46" spans="1:39" s="91" customFormat="1" ht="12" x14ac:dyDescent="0.2">
      <c r="A46" s="129" t="s">
        <v>19</v>
      </c>
      <c r="B46" s="127">
        <v>8846</v>
      </c>
      <c r="C46" s="158"/>
      <c r="D46" s="126" t="s">
        <v>241</v>
      </c>
      <c r="E46" s="126" t="s">
        <v>344</v>
      </c>
      <c r="F46" s="126" t="s">
        <v>270</v>
      </c>
      <c r="G46" s="126" t="s">
        <v>271</v>
      </c>
      <c r="H46" s="132"/>
      <c r="I46" s="126" t="s">
        <v>23</v>
      </c>
      <c r="J46" s="131" t="s">
        <v>31</v>
      </c>
      <c r="K46" s="131" t="s">
        <v>68</v>
      </c>
      <c r="L46" s="131"/>
      <c r="M46" s="131" t="s">
        <v>28</v>
      </c>
      <c r="N46" s="131">
        <v>100</v>
      </c>
      <c r="O46" s="131">
        <v>100</v>
      </c>
      <c r="P46" s="158">
        <f t="shared" si="13"/>
        <v>0</v>
      </c>
      <c r="Q46" s="137">
        <f>(103205*(O46/100)/12)</f>
        <v>8600.4166666666661</v>
      </c>
      <c r="R46" s="134">
        <v>45748</v>
      </c>
      <c r="S46" s="134">
        <v>45930</v>
      </c>
      <c r="T46" s="140">
        <v>0</v>
      </c>
      <c r="U46" s="150">
        <f t="shared" si="14"/>
        <v>0</v>
      </c>
      <c r="V46" s="136"/>
      <c r="W46" s="159"/>
      <c r="X46" s="152"/>
      <c r="Y46" s="151"/>
      <c r="Z46" s="146"/>
      <c r="AA46" s="207"/>
      <c r="AB46" s="207"/>
      <c r="AC46" s="207"/>
      <c r="AD46" s="208"/>
      <c r="AE46" s="208"/>
      <c r="AF46" s="208"/>
      <c r="AG46" s="208"/>
      <c r="AH46" s="208"/>
      <c r="AI46" s="208"/>
      <c r="AJ46" s="208"/>
      <c r="AK46" s="208"/>
      <c r="AL46" s="208"/>
      <c r="AM46" s="88"/>
    </row>
    <row r="47" spans="1:39" s="91" customFormat="1" ht="12" x14ac:dyDescent="0.2">
      <c r="A47" s="129" t="s">
        <v>19</v>
      </c>
      <c r="B47" s="127">
        <v>8846</v>
      </c>
      <c r="C47" s="158"/>
      <c r="D47" s="126"/>
      <c r="E47" s="126" t="s">
        <v>131</v>
      </c>
      <c r="F47" s="126" t="s">
        <v>232</v>
      </c>
      <c r="G47" s="126" t="s">
        <v>233</v>
      </c>
      <c r="H47" s="132"/>
      <c r="I47" s="126" t="s">
        <v>23</v>
      </c>
      <c r="J47" s="131" t="s">
        <v>27</v>
      </c>
      <c r="K47" s="131" t="s">
        <v>67</v>
      </c>
      <c r="L47" s="131" t="s">
        <v>30</v>
      </c>
      <c r="M47" s="131" t="s">
        <v>28</v>
      </c>
      <c r="N47" s="131">
        <v>100</v>
      </c>
      <c r="O47" s="131">
        <v>50</v>
      </c>
      <c r="P47" s="158">
        <f t="shared" si="6"/>
        <v>300</v>
      </c>
      <c r="Q47" s="137">
        <f t="shared" si="12"/>
        <v>4626.208333333333</v>
      </c>
      <c r="R47" s="134">
        <v>45566</v>
      </c>
      <c r="S47" s="134">
        <v>45747</v>
      </c>
      <c r="T47" s="140">
        <v>3</v>
      </c>
      <c r="U47" s="150">
        <f t="shared" si="4"/>
        <v>16376.777499999998</v>
      </c>
      <c r="V47" s="136"/>
      <c r="W47" s="159">
        <v>0</v>
      </c>
      <c r="X47" s="152">
        <f t="shared" si="9"/>
        <v>16376.777499999998</v>
      </c>
      <c r="Y47" s="151"/>
      <c r="Z47" s="146"/>
      <c r="AA47" s="207"/>
      <c r="AB47" s="207"/>
      <c r="AC47" s="207"/>
      <c r="AD47" s="208"/>
      <c r="AE47" s="208"/>
      <c r="AF47" s="208"/>
      <c r="AG47" s="208"/>
      <c r="AH47" s="208"/>
      <c r="AI47" s="208"/>
      <c r="AJ47" s="208"/>
      <c r="AK47" s="208"/>
      <c r="AL47" s="208"/>
      <c r="AM47" s="88"/>
    </row>
    <row r="48" spans="1:39" s="91" customFormat="1" ht="12" x14ac:dyDescent="0.2">
      <c r="A48" s="129" t="s">
        <v>19</v>
      </c>
      <c r="B48" s="127">
        <v>8846</v>
      </c>
      <c r="C48" s="158"/>
      <c r="D48" s="126"/>
      <c r="E48" s="126" t="s">
        <v>344</v>
      </c>
      <c r="F48" s="126" t="s">
        <v>232</v>
      </c>
      <c r="G48" s="126" t="s">
        <v>233</v>
      </c>
      <c r="H48" s="132"/>
      <c r="I48" s="126" t="s">
        <v>23</v>
      </c>
      <c r="J48" s="131" t="s">
        <v>27</v>
      </c>
      <c r="K48" s="131" t="s">
        <v>67</v>
      </c>
      <c r="L48" s="131" t="s">
        <v>50</v>
      </c>
      <c r="M48" s="131" t="s">
        <v>28</v>
      </c>
      <c r="N48" s="131">
        <v>100</v>
      </c>
      <c r="O48" s="131">
        <v>50</v>
      </c>
      <c r="P48" s="158">
        <f t="shared" si="6"/>
        <v>0</v>
      </c>
      <c r="Q48" s="137">
        <f t="shared" si="12"/>
        <v>4626.208333333333</v>
      </c>
      <c r="R48" s="134">
        <v>45748</v>
      </c>
      <c r="S48" s="134">
        <v>45930</v>
      </c>
      <c r="T48" s="140">
        <v>0</v>
      </c>
      <c r="U48" s="150">
        <f t="shared" si="4"/>
        <v>0</v>
      </c>
      <c r="V48" s="155"/>
      <c r="W48" s="159"/>
      <c r="X48" s="152"/>
      <c r="Y48" s="151"/>
      <c r="Z48" s="146"/>
      <c r="AA48" s="207"/>
      <c r="AB48" s="207"/>
      <c r="AC48" s="207"/>
      <c r="AD48" s="208"/>
      <c r="AE48" s="208"/>
      <c r="AF48" s="208"/>
      <c r="AG48" s="208"/>
      <c r="AH48" s="208"/>
      <c r="AI48" s="208"/>
      <c r="AJ48" s="208"/>
      <c r="AK48" s="208"/>
      <c r="AL48" s="208"/>
      <c r="AM48" s="88"/>
    </row>
    <row r="49" spans="1:40" s="91" customFormat="1" ht="12" x14ac:dyDescent="0.2">
      <c r="A49" s="129" t="s">
        <v>19</v>
      </c>
      <c r="B49" s="127">
        <v>8846</v>
      </c>
      <c r="C49" s="158"/>
      <c r="D49" s="126"/>
      <c r="E49" s="126" t="s">
        <v>344</v>
      </c>
      <c r="F49" s="126" t="s">
        <v>232</v>
      </c>
      <c r="G49" s="126" t="s">
        <v>233</v>
      </c>
      <c r="H49" s="132"/>
      <c r="I49" s="126" t="s">
        <v>23</v>
      </c>
      <c r="J49" s="131" t="s">
        <v>25</v>
      </c>
      <c r="K49" s="131" t="s">
        <v>67</v>
      </c>
      <c r="L49" s="131" t="s">
        <v>51</v>
      </c>
      <c r="M49" s="131" t="s">
        <v>32</v>
      </c>
      <c r="N49" s="131">
        <v>100</v>
      </c>
      <c r="O49" s="131">
        <v>100</v>
      </c>
      <c r="P49" s="158">
        <f t="shared" si="6"/>
        <v>0</v>
      </c>
      <c r="Q49" s="137"/>
      <c r="R49" s="134">
        <v>45931</v>
      </c>
      <c r="S49" s="134">
        <v>46112</v>
      </c>
      <c r="T49" s="140">
        <v>0</v>
      </c>
      <c r="U49" s="150"/>
      <c r="V49" s="155"/>
      <c r="W49" s="159"/>
      <c r="X49" s="152"/>
      <c r="Y49" s="151"/>
      <c r="Z49" s="146"/>
      <c r="AA49" s="207"/>
      <c r="AB49" s="207"/>
      <c r="AC49" s="207"/>
      <c r="AD49" s="208"/>
      <c r="AE49" s="208"/>
      <c r="AF49" s="208"/>
      <c r="AG49" s="208"/>
      <c r="AH49" s="208"/>
      <c r="AI49" s="208"/>
      <c r="AJ49" s="208"/>
      <c r="AK49" s="208"/>
      <c r="AL49" s="208"/>
      <c r="AM49" s="88"/>
    </row>
    <row r="50" spans="1:40" s="91" customFormat="1" ht="12" x14ac:dyDescent="0.2">
      <c r="A50" s="129" t="s">
        <v>19</v>
      </c>
      <c r="B50" s="127">
        <v>8846</v>
      </c>
      <c r="C50" s="158"/>
      <c r="D50" s="126"/>
      <c r="E50" s="126" t="s">
        <v>359</v>
      </c>
      <c r="F50" s="126" t="s">
        <v>232</v>
      </c>
      <c r="G50" s="126" t="s">
        <v>233</v>
      </c>
      <c r="H50" s="132"/>
      <c r="I50" s="126" t="s">
        <v>23</v>
      </c>
      <c r="J50" s="131" t="s">
        <v>31</v>
      </c>
      <c r="K50" s="131" t="s">
        <v>68</v>
      </c>
      <c r="L50" s="131"/>
      <c r="M50" s="131" t="s">
        <v>32</v>
      </c>
      <c r="N50" s="131">
        <v>100</v>
      </c>
      <c r="O50" s="131">
        <v>100</v>
      </c>
      <c r="P50" s="158">
        <f t="shared" si="6"/>
        <v>0</v>
      </c>
      <c r="Q50" s="137"/>
      <c r="R50" s="134">
        <v>46113</v>
      </c>
      <c r="S50" s="134">
        <v>46295</v>
      </c>
      <c r="T50" s="140">
        <v>0</v>
      </c>
      <c r="U50" s="150"/>
      <c r="V50" s="155"/>
      <c r="W50" s="159"/>
      <c r="X50" s="152"/>
      <c r="Y50" s="151"/>
      <c r="Z50" s="146"/>
      <c r="AA50" s="207"/>
      <c r="AB50" s="207"/>
      <c r="AC50" s="207"/>
      <c r="AD50" s="208"/>
      <c r="AE50" s="208"/>
      <c r="AF50" s="208"/>
      <c r="AG50" s="208"/>
      <c r="AH50" s="208"/>
      <c r="AI50" s="208"/>
      <c r="AJ50" s="208"/>
      <c r="AK50" s="208"/>
      <c r="AL50" s="208"/>
      <c r="AM50" s="88"/>
    </row>
    <row r="51" spans="1:40" s="5" customFormat="1" ht="12" x14ac:dyDescent="0.2">
      <c r="A51" s="129" t="s">
        <v>19</v>
      </c>
      <c r="B51" s="127">
        <v>8846</v>
      </c>
      <c r="C51" s="127"/>
      <c r="D51" s="129" t="s">
        <v>22</v>
      </c>
      <c r="E51" s="126" t="s">
        <v>77</v>
      </c>
      <c r="F51" s="129" t="s">
        <v>102</v>
      </c>
      <c r="G51" s="129" t="s">
        <v>103</v>
      </c>
      <c r="H51" s="128">
        <v>328588</v>
      </c>
      <c r="I51" s="131" t="s">
        <v>23</v>
      </c>
      <c r="J51" s="129" t="s">
        <v>33</v>
      </c>
      <c r="K51" s="129" t="s">
        <v>69</v>
      </c>
      <c r="L51" s="129" t="s">
        <v>104</v>
      </c>
      <c r="M51" s="131" t="s">
        <v>34</v>
      </c>
      <c r="N51" s="128">
        <v>80</v>
      </c>
      <c r="O51" s="128">
        <v>80</v>
      </c>
      <c r="P51" s="128">
        <f t="shared" ref="P51:P69" si="16">T51*N51</f>
        <v>40</v>
      </c>
      <c r="Q51" s="133">
        <f>(110335*(O51/100)/12)</f>
        <v>7355.666666666667</v>
      </c>
      <c r="R51" s="134">
        <v>45078</v>
      </c>
      <c r="S51" s="134">
        <v>45306</v>
      </c>
      <c r="T51" s="140">
        <v>0.5</v>
      </c>
      <c r="U51" s="161">
        <f t="shared" ref="U51:U69" si="17">(Q51*T51)*1.18</f>
        <v>4339.8433333333332</v>
      </c>
      <c r="V51" s="156" t="s">
        <v>124</v>
      </c>
      <c r="W51" s="162">
        <v>1600</v>
      </c>
      <c r="X51" s="163">
        <f t="shared" ref="X51:X69" si="18">U51-W51</f>
        <v>2739.8433333333332</v>
      </c>
      <c r="Y51" s="164"/>
      <c r="Z51" s="156" t="s">
        <v>124</v>
      </c>
      <c r="AA51" s="165">
        <v>1600</v>
      </c>
      <c r="AB51" s="209"/>
      <c r="AC51" s="209"/>
      <c r="AD51" s="209"/>
      <c r="AE51" s="209"/>
      <c r="AF51" s="209"/>
      <c r="AG51" s="209"/>
      <c r="AH51" s="209"/>
      <c r="AI51" s="209"/>
      <c r="AJ51" s="209"/>
      <c r="AK51" s="209"/>
      <c r="AL51" s="209"/>
      <c r="AM51" s="97"/>
    </row>
    <row r="52" spans="1:40" s="5" customFormat="1" ht="12" x14ac:dyDescent="0.2">
      <c r="A52" s="129" t="s">
        <v>19</v>
      </c>
      <c r="B52" s="127">
        <v>8846</v>
      </c>
      <c r="C52" s="166"/>
      <c r="D52" s="129" t="s">
        <v>26</v>
      </c>
      <c r="E52" s="126" t="s">
        <v>77</v>
      </c>
      <c r="F52" s="129" t="s">
        <v>86</v>
      </c>
      <c r="G52" s="129" t="s">
        <v>120</v>
      </c>
      <c r="H52" s="128">
        <v>325288</v>
      </c>
      <c r="I52" s="131" t="s">
        <v>23</v>
      </c>
      <c r="J52" s="129" t="s">
        <v>33</v>
      </c>
      <c r="K52" s="129" t="s">
        <v>69</v>
      </c>
      <c r="L52" s="129" t="s">
        <v>85</v>
      </c>
      <c r="M52" s="131" t="s">
        <v>34</v>
      </c>
      <c r="N52" s="128">
        <v>80</v>
      </c>
      <c r="O52" s="128">
        <v>80</v>
      </c>
      <c r="P52" s="128">
        <f t="shared" si="16"/>
        <v>280</v>
      </c>
      <c r="Q52" s="133">
        <f>(112250*(O52/100)/12)</f>
        <v>7483.333333333333</v>
      </c>
      <c r="R52" s="134">
        <v>45170</v>
      </c>
      <c r="S52" s="134">
        <v>45397</v>
      </c>
      <c r="T52" s="140">
        <v>3.5</v>
      </c>
      <c r="U52" s="161">
        <f t="shared" si="17"/>
        <v>30906.166666666661</v>
      </c>
      <c r="V52" s="167" t="s">
        <v>123</v>
      </c>
      <c r="W52" s="162">
        <v>11200</v>
      </c>
      <c r="X52" s="163">
        <f t="shared" si="18"/>
        <v>19706.166666666661</v>
      </c>
      <c r="Y52" s="164"/>
      <c r="Z52" s="167" t="s">
        <v>123</v>
      </c>
      <c r="AA52" s="165">
        <v>3200</v>
      </c>
      <c r="AB52" s="167">
        <v>3200</v>
      </c>
      <c r="AC52" s="209">
        <v>3200</v>
      </c>
      <c r="AD52" s="209">
        <v>1600</v>
      </c>
      <c r="AE52" s="209"/>
      <c r="AF52" s="209"/>
      <c r="AG52" s="209"/>
      <c r="AH52" s="209"/>
      <c r="AI52" s="209"/>
      <c r="AJ52" s="209"/>
      <c r="AK52" s="209"/>
      <c r="AL52" s="209"/>
      <c r="AM52" s="224">
        <f>SUM(AB52:AD52)</f>
        <v>8000</v>
      </c>
    </row>
    <row r="53" spans="1:40" s="5" customFormat="1" ht="12" x14ac:dyDescent="0.2">
      <c r="A53" s="129" t="s">
        <v>19</v>
      </c>
      <c r="B53" s="127">
        <v>8846</v>
      </c>
      <c r="C53" s="166"/>
      <c r="D53" s="129" t="s">
        <v>26</v>
      </c>
      <c r="E53" s="126" t="s">
        <v>77</v>
      </c>
      <c r="F53" s="129" t="s">
        <v>106</v>
      </c>
      <c r="G53" s="129" t="s">
        <v>105</v>
      </c>
      <c r="H53" s="128">
        <v>324130</v>
      </c>
      <c r="I53" s="131" t="s">
        <v>23</v>
      </c>
      <c r="J53" s="129" t="s">
        <v>33</v>
      </c>
      <c r="K53" s="129" t="s">
        <v>69</v>
      </c>
      <c r="L53" s="129" t="s">
        <v>199</v>
      </c>
      <c r="M53" s="131" t="s">
        <v>34</v>
      </c>
      <c r="N53" s="128">
        <v>100</v>
      </c>
      <c r="O53" s="128">
        <v>100</v>
      </c>
      <c r="P53" s="128">
        <f t="shared" si="16"/>
        <v>200</v>
      </c>
      <c r="Q53" s="133">
        <f>(112250*(O53/100)/12)</f>
        <v>9354.1666666666661</v>
      </c>
      <c r="R53" s="134">
        <v>45170</v>
      </c>
      <c r="S53" s="134">
        <v>45351</v>
      </c>
      <c r="T53" s="140">
        <v>2</v>
      </c>
      <c r="U53" s="161">
        <f t="shared" si="17"/>
        <v>22075.833333333332</v>
      </c>
      <c r="V53" s="156" t="s">
        <v>121</v>
      </c>
      <c r="W53" s="162">
        <v>8000</v>
      </c>
      <c r="X53" s="163">
        <f t="shared" si="18"/>
        <v>14075.833333333332</v>
      </c>
      <c r="Y53" s="164"/>
      <c r="Z53" s="156" t="s">
        <v>121</v>
      </c>
      <c r="AA53" s="167">
        <v>4000</v>
      </c>
      <c r="AB53" s="167">
        <v>4000</v>
      </c>
      <c r="AC53" s="209"/>
      <c r="AD53" s="209"/>
      <c r="AE53" s="209"/>
      <c r="AF53" s="209"/>
      <c r="AG53" s="209"/>
      <c r="AH53" s="209"/>
      <c r="AI53" s="205"/>
      <c r="AJ53" s="205"/>
      <c r="AK53" s="205"/>
      <c r="AL53" s="205"/>
      <c r="AM53" s="85">
        <f>SUM(AA53:AL53)</f>
        <v>8000</v>
      </c>
      <c r="AN53" s="85"/>
    </row>
    <row r="54" spans="1:40" s="5" customFormat="1" ht="12" x14ac:dyDescent="0.2">
      <c r="A54" s="129" t="s">
        <v>19</v>
      </c>
      <c r="B54" s="127">
        <v>8846</v>
      </c>
      <c r="C54" s="127"/>
      <c r="D54" s="129" t="s">
        <v>29</v>
      </c>
      <c r="E54" s="126" t="s">
        <v>77</v>
      </c>
      <c r="F54" s="129" t="s">
        <v>107</v>
      </c>
      <c r="G54" s="129" t="s">
        <v>108</v>
      </c>
      <c r="H54" s="128">
        <v>318572</v>
      </c>
      <c r="I54" s="131" t="s">
        <v>23</v>
      </c>
      <c r="J54" s="129" t="s">
        <v>33</v>
      </c>
      <c r="K54" s="129" t="s">
        <v>69</v>
      </c>
      <c r="L54" s="129" t="s">
        <v>64</v>
      </c>
      <c r="M54" s="131" t="s">
        <v>34</v>
      </c>
      <c r="N54" s="128">
        <v>80</v>
      </c>
      <c r="O54" s="128">
        <v>80</v>
      </c>
      <c r="P54" s="128">
        <f t="shared" si="16"/>
        <v>280</v>
      </c>
      <c r="Q54" s="133">
        <f>114164*(O54/100)/12</f>
        <v>7610.9333333333343</v>
      </c>
      <c r="R54" s="134">
        <v>45170</v>
      </c>
      <c r="S54" s="134">
        <v>45397</v>
      </c>
      <c r="T54" s="140">
        <v>3.5</v>
      </c>
      <c r="U54" s="161">
        <f t="shared" si="17"/>
        <v>31433.154666666669</v>
      </c>
      <c r="V54" s="156" t="s">
        <v>122</v>
      </c>
      <c r="W54" s="162">
        <v>11200</v>
      </c>
      <c r="X54" s="163">
        <f t="shared" si="18"/>
        <v>20233.154666666669</v>
      </c>
      <c r="Y54" s="164"/>
      <c r="Z54" s="156" t="s">
        <v>122</v>
      </c>
      <c r="AA54" s="209">
        <v>3200</v>
      </c>
      <c r="AB54" s="209">
        <v>3200</v>
      </c>
      <c r="AC54" s="209">
        <v>3200</v>
      </c>
      <c r="AD54" s="209">
        <v>1600</v>
      </c>
      <c r="AE54" s="209"/>
      <c r="AF54" s="209"/>
      <c r="AG54" s="209"/>
      <c r="AH54" s="209"/>
      <c r="AI54" s="145"/>
      <c r="AJ54" s="145"/>
      <c r="AK54" s="145"/>
      <c r="AL54" s="145"/>
      <c r="AM54" s="77">
        <f>SUM(AA54:AL54)</f>
        <v>11200</v>
      </c>
      <c r="AN54" s="77"/>
    </row>
    <row r="55" spans="1:40" s="5" customFormat="1" ht="12" x14ac:dyDescent="0.2">
      <c r="A55" s="129" t="s">
        <v>19</v>
      </c>
      <c r="B55" s="127">
        <v>8846</v>
      </c>
      <c r="C55" s="166"/>
      <c r="D55" s="129" t="s">
        <v>22</v>
      </c>
      <c r="E55" s="126" t="s">
        <v>77</v>
      </c>
      <c r="F55" s="129" t="s">
        <v>110</v>
      </c>
      <c r="G55" s="129" t="s">
        <v>111</v>
      </c>
      <c r="H55" s="128">
        <v>363947</v>
      </c>
      <c r="I55" s="131" t="s">
        <v>23</v>
      </c>
      <c r="J55" s="129" t="s">
        <v>33</v>
      </c>
      <c r="K55" s="129" t="s">
        <v>68</v>
      </c>
      <c r="L55" s="129" t="s">
        <v>112</v>
      </c>
      <c r="M55" s="131" t="s">
        <v>32</v>
      </c>
      <c r="N55" s="128">
        <v>80</v>
      </c>
      <c r="O55" s="128">
        <v>80</v>
      </c>
      <c r="P55" s="128">
        <f t="shared" si="16"/>
        <v>360</v>
      </c>
      <c r="Q55" s="133">
        <f>(110335*(O55/100)/12)</f>
        <v>7355.666666666667</v>
      </c>
      <c r="R55" s="134">
        <v>45200</v>
      </c>
      <c r="S55" s="134">
        <v>45427</v>
      </c>
      <c r="T55" s="140">
        <v>4.5</v>
      </c>
      <c r="U55" s="161">
        <f t="shared" si="17"/>
        <v>39058.589999999997</v>
      </c>
      <c r="V55" s="138" t="s">
        <v>125</v>
      </c>
      <c r="W55" s="162">
        <v>14400</v>
      </c>
      <c r="X55" s="163">
        <f t="shared" si="18"/>
        <v>24658.589999999997</v>
      </c>
      <c r="Y55" s="164"/>
      <c r="Z55" s="138" t="s">
        <v>125</v>
      </c>
      <c r="AA55" s="209">
        <v>3200</v>
      </c>
      <c r="AB55" s="209">
        <v>3200</v>
      </c>
      <c r="AC55" s="209">
        <v>3200</v>
      </c>
      <c r="AD55" s="209">
        <v>3200</v>
      </c>
      <c r="AE55" s="209">
        <v>1600</v>
      </c>
      <c r="AF55" s="209"/>
      <c r="AG55" s="209"/>
      <c r="AH55" s="209"/>
      <c r="AI55" s="209"/>
      <c r="AJ55" s="209"/>
      <c r="AK55" s="209"/>
      <c r="AL55" s="209"/>
      <c r="AM55" s="224">
        <f>SUM(AA55:AE55)</f>
        <v>14400</v>
      </c>
    </row>
    <row r="56" spans="1:40" s="5" customFormat="1" ht="12" x14ac:dyDescent="0.2">
      <c r="A56" s="129" t="s">
        <v>19</v>
      </c>
      <c r="B56" s="127">
        <v>8846</v>
      </c>
      <c r="C56" s="127"/>
      <c r="D56" s="129" t="s">
        <v>29</v>
      </c>
      <c r="E56" s="126" t="s">
        <v>77</v>
      </c>
      <c r="F56" s="129" t="s">
        <v>262</v>
      </c>
      <c r="G56" s="129" t="s">
        <v>87</v>
      </c>
      <c r="H56" s="128">
        <v>329266</v>
      </c>
      <c r="I56" s="131" t="s">
        <v>23</v>
      </c>
      <c r="J56" s="129" t="s">
        <v>33</v>
      </c>
      <c r="K56" s="129" t="s">
        <v>69</v>
      </c>
      <c r="L56" s="129" t="s">
        <v>263</v>
      </c>
      <c r="M56" s="131" t="s">
        <v>34</v>
      </c>
      <c r="N56" s="128">
        <v>70</v>
      </c>
      <c r="O56" s="128">
        <v>70</v>
      </c>
      <c r="P56" s="128">
        <f t="shared" si="16"/>
        <v>322</v>
      </c>
      <c r="Q56" s="133">
        <f>114164*(O56/100)/12</f>
        <v>6659.5666666666657</v>
      </c>
      <c r="R56" s="134">
        <v>45170</v>
      </c>
      <c r="S56" s="134">
        <v>45430</v>
      </c>
      <c r="T56" s="140">
        <v>4.5999999999999996</v>
      </c>
      <c r="U56" s="161">
        <f t="shared" si="17"/>
        <v>36148.127866666655</v>
      </c>
      <c r="V56" s="138" t="s">
        <v>126</v>
      </c>
      <c r="W56" s="162">
        <v>12800</v>
      </c>
      <c r="X56" s="163">
        <f t="shared" si="18"/>
        <v>23348.127866666655</v>
      </c>
      <c r="Y56" s="164"/>
      <c r="Z56" s="138" t="s">
        <v>126</v>
      </c>
      <c r="AA56" s="209">
        <v>2800</v>
      </c>
      <c r="AB56" s="209">
        <v>2800</v>
      </c>
      <c r="AC56" s="209">
        <v>2800</v>
      </c>
      <c r="AD56" s="209">
        <v>2800</v>
      </c>
      <c r="AE56" s="209">
        <v>1600</v>
      </c>
      <c r="AF56" s="209"/>
      <c r="AG56" s="209"/>
      <c r="AH56" s="209"/>
      <c r="AI56" s="209"/>
      <c r="AJ56" s="209"/>
      <c r="AK56" s="209"/>
      <c r="AL56" s="209"/>
      <c r="AM56" s="224">
        <f>SUM(AA56:AL56)</f>
        <v>12800</v>
      </c>
    </row>
    <row r="57" spans="1:40" s="5" customFormat="1" ht="12" x14ac:dyDescent="0.2">
      <c r="A57" s="129" t="s">
        <v>19</v>
      </c>
      <c r="B57" s="127">
        <v>8846</v>
      </c>
      <c r="C57" s="127"/>
      <c r="D57" s="129" t="s">
        <v>343</v>
      </c>
      <c r="E57" s="126" t="s">
        <v>131</v>
      </c>
      <c r="F57" s="129" t="s">
        <v>114</v>
      </c>
      <c r="G57" s="129" t="s">
        <v>113</v>
      </c>
      <c r="H57" s="128">
        <v>339079</v>
      </c>
      <c r="I57" s="131" t="s">
        <v>23</v>
      </c>
      <c r="J57" s="129" t="s">
        <v>33</v>
      </c>
      <c r="K57" s="129" t="s">
        <v>68</v>
      </c>
      <c r="L57" s="129" t="s">
        <v>192</v>
      </c>
      <c r="M57" s="131" t="s">
        <v>32</v>
      </c>
      <c r="N57" s="128">
        <v>100</v>
      </c>
      <c r="O57" s="128">
        <v>100</v>
      </c>
      <c r="P57" s="128">
        <f t="shared" si="16"/>
        <v>200</v>
      </c>
      <c r="Q57" s="133">
        <f>117997*(O57/100)/12</f>
        <v>9833.0833333333339</v>
      </c>
      <c r="R57" s="134">
        <v>45231</v>
      </c>
      <c r="S57" s="134">
        <v>45351</v>
      </c>
      <c r="T57" s="140">
        <v>2</v>
      </c>
      <c r="U57" s="161">
        <f t="shared" si="17"/>
        <v>23206.076666666668</v>
      </c>
      <c r="V57" s="160" t="s">
        <v>162</v>
      </c>
      <c r="W57" s="162">
        <v>8000</v>
      </c>
      <c r="X57" s="163">
        <f t="shared" si="18"/>
        <v>15206.076666666668</v>
      </c>
      <c r="Y57" s="164"/>
      <c r="Z57" s="160" t="s">
        <v>162</v>
      </c>
      <c r="AA57" s="167">
        <v>4000</v>
      </c>
      <c r="AB57" s="167">
        <v>4000</v>
      </c>
      <c r="AC57" s="209"/>
      <c r="AD57" s="209"/>
      <c r="AE57" s="209"/>
      <c r="AF57" s="209"/>
      <c r="AG57" s="209"/>
      <c r="AH57" s="209"/>
      <c r="AI57" s="209"/>
      <c r="AJ57" s="209"/>
      <c r="AK57" s="209"/>
      <c r="AL57" s="209"/>
      <c r="AM57" s="224">
        <f>SUM(AA57:AL57)</f>
        <v>8000</v>
      </c>
    </row>
    <row r="58" spans="1:40" s="5" customFormat="1" ht="12" x14ac:dyDescent="0.2">
      <c r="A58" s="129" t="s">
        <v>19</v>
      </c>
      <c r="B58" s="127">
        <v>8846</v>
      </c>
      <c r="C58" s="127"/>
      <c r="D58" s="129" t="s">
        <v>211</v>
      </c>
      <c r="E58" s="126" t="s">
        <v>131</v>
      </c>
      <c r="F58" s="129" t="s">
        <v>116</v>
      </c>
      <c r="G58" s="129" t="s">
        <v>115</v>
      </c>
      <c r="H58" s="128">
        <v>363840</v>
      </c>
      <c r="I58" s="131" t="s">
        <v>23</v>
      </c>
      <c r="J58" s="129" t="s">
        <v>33</v>
      </c>
      <c r="K58" s="129" t="s">
        <v>69</v>
      </c>
      <c r="L58" s="129" t="s">
        <v>197</v>
      </c>
      <c r="M58" s="131" t="s">
        <v>34</v>
      </c>
      <c r="N58" s="128">
        <v>60</v>
      </c>
      <c r="O58" s="128">
        <v>60</v>
      </c>
      <c r="P58" s="128">
        <f t="shared" si="16"/>
        <v>420</v>
      </c>
      <c r="Q58" s="133">
        <f>114164*(O58/100)/12</f>
        <v>5708.2</v>
      </c>
      <c r="R58" s="134">
        <v>45200</v>
      </c>
      <c r="S58" s="134">
        <v>45504</v>
      </c>
      <c r="T58" s="140">
        <v>7</v>
      </c>
      <c r="U58" s="161">
        <f t="shared" si="17"/>
        <v>47149.731999999996</v>
      </c>
      <c r="V58" s="160" t="s">
        <v>163</v>
      </c>
      <c r="W58" s="162">
        <v>16800</v>
      </c>
      <c r="X58" s="163">
        <f t="shared" si="18"/>
        <v>30349.731999999996</v>
      </c>
      <c r="Y58" s="164"/>
      <c r="Z58" s="160" t="s">
        <v>163</v>
      </c>
      <c r="AA58" s="209">
        <v>2400</v>
      </c>
      <c r="AB58" s="209">
        <v>2400</v>
      </c>
      <c r="AC58" s="209">
        <v>2400</v>
      </c>
      <c r="AD58" s="209">
        <v>2400</v>
      </c>
      <c r="AE58" s="209">
        <v>2400</v>
      </c>
      <c r="AF58" s="209">
        <v>2400</v>
      </c>
      <c r="AG58" s="209">
        <v>2400</v>
      </c>
      <c r="AH58" s="209"/>
      <c r="AI58" s="209"/>
      <c r="AJ58" s="209"/>
      <c r="AK58" s="209"/>
      <c r="AL58" s="209"/>
      <c r="AM58" s="224">
        <f>SUM(AA58:AG58)</f>
        <v>16800</v>
      </c>
    </row>
    <row r="59" spans="1:40" s="21" customFormat="1" ht="12" x14ac:dyDescent="0.2">
      <c r="A59" s="129" t="s">
        <v>19</v>
      </c>
      <c r="B59" s="127">
        <v>8846</v>
      </c>
      <c r="C59" s="127"/>
      <c r="D59" s="129" t="s">
        <v>160</v>
      </c>
      <c r="E59" s="126" t="s">
        <v>77</v>
      </c>
      <c r="F59" s="129" t="s">
        <v>144</v>
      </c>
      <c r="G59" s="129" t="s">
        <v>129</v>
      </c>
      <c r="H59" s="128">
        <v>333710</v>
      </c>
      <c r="I59" s="131" t="s">
        <v>23</v>
      </c>
      <c r="J59" s="129" t="s">
        <v>33</v>
      </c>
      <c r="K59" s="129" t="s">
        <v>68</v>
      </c>
      <c r="L59" s="129" t="s">
        <v>130</v>
      </c>
      <c r="M59" s="131" t="s">
        <v>32</v>
      </c>
      <c r="N59" s="128">
        <v>60</v>
      </c>
      <c r="O59" s="128">
        <v>60</v>
      </c>
      <c r="P59" s="128">
        <f t="shared" si="16"/>
        <v>0</v>
      </c>
      <c r="Q59" s="133">
        <f>99377*(O59/100)/12</f>
        <v>4968.8499999999995</v>
      </c>
      <c r="R59" s="134">
        <v>45047</v>
      </c>
      <c r="S59" s="134">
        <v>45199</v>
      </c>
      <c r="T59" s="140">
        <v>0</v>
      </c>
      <c r="U59" s="161">
        <f t="shared" si="17"/>
        <v>0</v>
      </c>
      <c r="V59" s="131" t="s">
        <v>161</v>
      </c>
      <c r="W59" s="162">
        <v>0</v>
      </c>
      <c r="X59" s="163">
        <f t="shared" si="18"/>
        <v>0</v>
      </c>
      <c r="Y59" s="157"/>
      <c r="Z59" s="138" t="s">
        <v>161</v>
      </c>
      <c r="AA59" s="209"/>
      <c r="AB59" s="209"/>
      <c r="AC59" s="209"/>
      <c r="AD59" s="209"/>
      <c r="AE59" s="209"/>
      <c r="AF59" s="209"/>
      <c r="AG59" s="209"/>
      <c r="AH59" s="209"/>
      <c r="AI59" s="209"/>
      <c r="AJ59" s="209"/>
      <c r="AK59" s="209"/>
      <c r="AL59" s="209"/>
      <c r="AM59" s="97"/>
    </row>
    <row r="60" spans="1:40" s="21" customFormat="1" ht="12" x14ac:dyDescent="0.2">
      <c r="A60" s="129" t="s">
        <v>19</v>
      </c>
      <c r="B60" s="127">
        <v>8846</v>
      </c>
      <c r="C60" s="127"/>
      <c r="D60" s="129" t="s">
        <v>264</v>
      </c>
      <c r="E60" s="126" t="s">
        <v>77</v>
      </c>
      <c r="F60" s="129" t="s">
        <v>144</v>
      </c>
      <c r="G60" s="129" t="s">
        <v>129</v>
      </c>
      <c r="H60" s="128">
        <v>333710</v>
      </c>
      <c r="I60" s="131" t="s">
        <v>23</v>
      </c>
      <c r="J60" s="129" t="s">
        <v>33</v>
      </c>
      <c r="K60" s="129" t="s">
        <v>68</v>
      </c>
      <c r="L60" s="129" t="s">
        <v>130</v>
      </c>
      <c r="M60" s="131" t="s">
        <v>32</v>
      </c>
      <c r="N60" s="128">
        <v>60</v>
      </c>
      <c r="O60" s="128">
        <v>60</v>
      </c>
      <c r="P60" s="128">
        <f t="shared" si="16"/>
        <v>120</v>
      </c>
      <c r="Q60" s="133">
        <f>103205*(O60/100)/12</f>
        <v>5160.25</v>
      </c>
      <c r="R60" s="134">
        <v>45200</v>
      </c>
      <c r="S60" s="134">
        <v>45351</v>
      </c>
      <c r="T60" s="140">
        <v>2</v>
      </c>
      <c r="U60" s="161">
        <f t="shared" si="17"/>
        <v>12178.189999999999</v>
      </c>
      <c r="V60" s="131" t="s">
        <v>161</v>
      </c>
      <c r="W60" s="162">
        <v>4800</v>
      </c>
      <c r="X60" s="163">
        <f t="shared" si="18"/>
        <v>7378.1899999999987</v>
      </c>
      <c r="Y60" s="157"/>
      <c r="Z60" s="138" t="s">
        <v>161</v>
      </c>
      <c r="AA60" s="167">
        <v>2400</v>
      </c>
      <c r="AB60" s="167">
        <v>2400</v>
      </c>
      <c r="AC60" s="209"/>
      <c r="AD60" s="209"/>
      <c r="AE60" s="209"/>
      <c r="AF60" s="209"/>
      <c r="AG60" s="209"/>
      <c r="AH60" s="209"/>
      <c r="AI60" s="209"/>
      <c r="AJ60" s="209"/>
      <c r="AK60" s="209"/>
      <c r="AL60" s="209"/>
      <c r="AM60" s="224">
        <f>SUM(AA60:AL60)</f>
        <v>4800</v>
      </c>
    </row>
    <row r="61" spans="1:40" s="21" customFormat="1" ht="12" x14ac:dyDescent="0.2">
      <c r="A61" s="129" t="s">
        <v>19</v>
      </c>
      <c r="B61" s="127">
        <v>8846</v>
      </c>
      <c r="C61" s="127"/>
      <c r="D61" s="129" t="s">
        <v>26</v>
      </c>
      <c r="E61" s="126" t="s">
        <v>77</v>
      </c>
      <c r="F61" s="129" t="s">
        <v>148</v>
      </c>
      <c r="G61" s="129" t="s">
        <v>87</v>
      </c>
      <c r="H61" s="128">
        <v>362642</v>
      </c>
      <c r="I61" s="131" t="s">
        <v>23</v>
      </c>
      <c r="J61" s="129" t="s">
        <v>33</v>
      </c>
      <c r="K61" s="129" t="s">
        <v>68</v>
      </c>
      <c r="L61" s="129" t="s">
        <v>149</v>
      </c>
      <c r="M61" s="131" t="s">
        <v>32</v>
      </c>
      <c r="N61" s="128">
        <v>100</v>
      </c>
      <c r="O61" s="128">
        <v>100</v>
      </c>
      <c r="P61" s="128">
        <f t="shared" si="16"/>
        <v>100</v>
      </c>
      <c r="Q61" s="133">
        <f>112250*(O61/100)/12</f>
        <v>9354.1666666666661</v>
      </c>
      <c r="R61" s="134">
        <v>45139</v>
      </c>
      <c r="S61" s="134">
        <v>45322</v>
      </c>
      <c r="T61" s="140">
        <v>1</v>
      </c>
      <c r="U61" s="161">
        <f t="shared" si="17"/>
        <v>11037.916666666666</v>
      </c>
      <c r="V61" s="131" t="s">
        <v>178</v>
      </c>
      <c r="W61" s="162">
        <v>4000</v>
      </c>
      <c r="X61" s="163">
        <f t="shared" si="18"/>
        <v>7037.9166666666661</v>
      </c>
      <c r="Y61" s="157"/>
      <c r="Z61" s="138" t="s">
        <v>178</v>
      </c>
      <c r="AA61" s="165">
        <v>4000</v>
      </c>
      <c r="AB61" s="209"/>
      <c r="AC61" s="209"/>
      <c r="AD61" s="209"/>
      <c r="AE61" s="210"/>
      <c r="AF61" s="210"/>
      <c r="AG61" s="210"/>
      <c r="AH61" s="209"/>
      <c r="AI61" s="209"/>
      <c r="AJ61" s="209"/>
      <c r="AK61" s="209"/>
      <c r="AL61" s="209"/>
      <c r="AM61" s="97"/>
    </row>
    <row r="62" spans="1:40" s="21" customFormat="1" ht="12" x14ac:dyDescent="0.2">
      <c r="A62" s="129" t="s">
        <v>19</v>
      </c>
      <c r="B62" s="127">
        <v>8846</v>
      </c>
      <c r="C62" s="127"/>
      <c r="D62" s="129" t="s">
        <v>219</v>
      </c>
      <c r="E62" s="126" t="s">
        <v>77</v>
      </c>
      <c r="F62" s="129" t="s">
        <v>157</v>
      </c>
      <c r="G62" s="129" t="s">
        <v>158</v>
      </c>
      <c r="H62" s="128">
        <v>328890</v>
      </c>
      <c r="I62" s="131" t="s">
        <v>23</v>
      </c>
      <c r="J62" s="129" t="s">
        <v>33</v>
      </c>
      <c r="K62" s="129" t="s">
        <v>68</v>
      </c>
      <c r="L62" s="129" t="s">
        <v>159</v>
      </c>
      <c r="M62" s="131" t="s">
        <v>32</v>
      </c>
      <c r="N62" s="128">
        <v>100</v>
      </c>
      <c r="O62" s="128">
        <v>100</v>
      </c>
      <c r="P62" s="128">
        <f t="shared" si="16"/>
        <v>400</v>
      </c>
      <c r="Q62" s="133">
        <f>110335*(O62/100)/12</f>
        <v>9194.5833333333339</v>
      </c>
      <c r="R62" s="134">
        <v>45231</v>
      </c>
      <c r="S62" s="134">
        <v>45412</v>
      </c>
      <c r="T62" s="140">
        <v>4</v>
      </c>
      <c r="U62" s="161">
        <f t="shared" si="17"/>
        <v>43398.433333333334</v>
      </c>
      <c r="V62" s="131" t="s">
        <v>179</v>
      </c>
      <c r="W62" s="162">
        <v>16000</v>
      </c>
      <c r="X62" s="163">
        <f t="shared" si="18"/>
        <v>27398.433333333334</v>
      </c>
      <c r="Y62" s="157"/>
      <c r="Z62" s="138" t="s">
        <v>179</v>
      </c>
      <c r="AA62" s="209">
        <v>4000</v>
      </c>
      <c r="AB62" s="209">
        <v>4000</v>
      </c>
      <c r="AC62" s="209">
        <v>4000</v>
      </c>
      <c r="AD62" s="209">
        <v>4000</v>
      </c>
      <c r="AE62" s="210"/>
      <c r="AF62" s="210"/>
      <c r="AG62" s="146"/>
      <c r="AH62" s="146"/>
      <c r="AI62" s="146"/>
      <c r="AJ62" s="146"/>
      <c r="AK62" s="209"/>
      <c r="AL62" s="209"/>
      <c r="AM62" s="224">
        <f t="shared" ref="AM62:AM69" si="19">SUM(AA62:AL62)</f>
        <v>16000</v>
      </c>
    </row>
    <row r="63" spans="1:40" s="91" customFormat="1" ht="12" x14ac:dyDescent="0.2">
      <c r="A63" s="129" t="s">
        <v>19</v>
      </c>
      <c r="B63" s="127">
        <v>8846</v>
      </c>
      <c r="C63" s="158"/>
      <c r="D63" s="126" t="s">
        <v>22</v>
      </c>
      <c r="E63" s="126" t="s">
        <v>77</v>
      </c>
      <c r="F63" s="129" t="s">
        <v>167</v>
      </c>
      <c r="G63" s="129" t="s">
        <v>168</v>
      </c>
      <c r="H63" s="132" t="s">
        <v>254</v>
      </c>
      <c r="I63" s="131" t="s">
        <v>23</v>
      </c>
      <c r="J63" s="129" t="s">
        <v>33</v>
      </c>
      <c r="K63" s="129" t="s">
        <v>69</v>
      </c>
      <c r="L63" s="129" t="s">
        <v>169</v>
      </c>
      <c r="M63" s="131" t="s">
        <v>34</v>
      </c>
      <c r="N63" s="128">
        <v>60</v>
      </c>
      <c r="O63" s="128">
        <v>60</v>
      </c>
      <c r="P63" s="128">
        <f t="shared" si="16"/>
        <v>420</v>
      </c>
      <c r="Q63" s="133">
        <f>110335*(O63/100)/12</f>
        <v>5516.75</v>
      </c>
      <c r="R63" s="134">
        <v>45200</v>
      </c>
      <c r="S63" s="134">
        <v>45504</v>
      </c>
      <c r="T63" s="140">
        <v>7</v>
      </c>
      <c r="U63" s="161">
        <f t="shared" si="17"/>
        <v>45568.354999999996</v>
      </c>
      <c r="V63" s="136" t="s">
        <v>205</v>
      </c>
      <c r="W63" s="162">
        <v>16800</v>
      </c>
      <c r="X63" s="163">
        <f t="shared" si="18"/>
        <v>28768.354999999996</v>
      </c>
      <c r="Y63" s="151"/>
      <c r="Z63" s="138" t="s">
        <v>205</v>
      </c>
      <c r="AA63" s="209">
        <v>2400</v>
      </c>
      <c r="AB63" s="209">
        <v>2400</v>
      </c>
      <c r="AC63" s="209">
        <v>2400</v>
      </c>
      <c r="AD63" s="209">
        <v>2400</v>
      </c>
      <c r="AE63" s="209">
        <v>2400</v>
      </c>
      <c r="AF63" s="209">
        <v>2400</v>
      </c>
      <c r="AG63" s="209">
        <v>2400</v>
      </c>
      <c r="AH63" s="211"/>
      <c r="AI63" s="211"/>
      <c r="AJ63" s="209"/>
      <c r="AK63" s="209"/>
      <c r="AL63" s="209"/>
      <c r="AM63" s="224">
        <f t="shared" si="19"/>
        <v>16800</v>
      </c>
    </row>
    <row r="64" spans="1:40" s="91" customFormat="1" ht="12" x14ac:dyDescent="0.2">
      <c r="A64" s="129" t="s">
        <v>19</v>
      </c>
      <c r="B64" s="127">
        <v>8846</v>
      </c>
      <c r="C64" s="158"/>
      <c r="D64" s="126" t="s">
        <v>172</v>
      </c>
      <c r="E64" s="126" t="s">
        <v>77</v>
      </c>
      <c r="F64" s="168" t="s">
        <v>176</v>
      </c>
      <c r="G64" s="169" t="s">
        <v>47</v>
      </c>
      <c r="H64" s="170" t="s">
        <v>252</v>
      </c>
      <c r="I64" s="168" t="s">
        <v>23</v>
      </c>
      <c r="J64" s="171" t="s">
        <v>33</v>
      </c>
      <c r="K64" s="131" t="s">
        <v>68</v>
      </c>
      <c r="L64" s="131" t="s">
        <v>177</v>
      </c>
      <c r="M64" s="131" t="s">
        <v>32</v>
      </c>
      <c r="N64" s="131">
        <v>90</v>
      </c>
      <c r="O64" s="131">
        <v>90</v>
      </c>
      <c r="P64" s="128">
        <f t="shared" si="16"/>
        <v>251.99999999999997</v>
      </c>
      <c r="Q64" s="133">
        <f>(112250*(O64/100)/12)</f>
        <v>8418.75</v>
      </c>
      <c r="R64" s="134">
        <v>45170</v>
      </c>
      <c r="S64" s="134">
        <v>45372</v>
      </c>
      <c r="T64" s="140">
        <v>2.8</v>
      </c>
      <c r="U64" s="161">
        <f t="shared" si="17"/>
        <v>27815.55</v>
      </c>
      <c r="V64" s="136" t="s">
        <v>204</v>
      </c>
      <c r="W64" s="161">
        <v>9672</v>
      </c>
      <c r="X64" s="163">
        <f t="shared" si="18"/>
        <v>18143.55</v>
      </c>
      <c r="Y64" s="151"/>
      <c r="Z64" s="138" t="s">
        <v>204</v>
      </c>
      <c r="AA64" s="209">
        <v>3582</v>
      </c>
      <c r="AB64" s="209">
        <v>3582</v>
      </c>
      <c r="AC64" s="209">
        <v>2508</v>
      </c>
      <c r="AD64" s="208"/>
      <c r="AE64" s="208"/>
      <c r="AF64" s="208"/>
      <c r="AG64" s="211"/>
      <c r="AH64" s="211"/>
      <c r="AI64" s="209"/>
      <c r="AJ64" s="209"/>
      <c r="AK64" s="209"/>
      <c r="AL64" s="209"/>
      <c r="AM64" s="224">
        <f t="shared" si="19"/>
        <v>9672</v>
      </c>
    </row>
    <row r="65" spans="1:39" s="91" customFormat="1" ht="12" x14ac:dyDescent="0.2">
      <c r="A65" s="129" t="s">
        <v>19</v>
      </c>
      <c r="B65" s="127">
        <v>8846</v>
      </c>
      <c r="C65" s="158"/>
      <c r="D65" s="172" t="s">
        <v>220</v>
      </c>
      <c r="E65" s="172" t="s">
        <v>77</v>
      </c>
      <c r="F65" s="126" t="s">
        <v>180</v>
      </c>
      <c r="G65" s="126" t="s">
        <v>53</v>
      </c>
      <c r="H65" s="132" t="s">
        <v>289</v>
      </c>
      <c r="I65" s="126" t="s">
        <v>23</v>
      </c>
      <c r="J65" s="131" t="s">
        <v>33</v>
      </c>
      <c r="K65" s="131" t="s">
        <v>68</v>
      </c>
      <c r="L65" s="131" t="s">
        <v>191</v>
      </c>
      <c r="M65" s="131" t="s">
        <v>32</v>
      </c>
      <c r="N65" s="131">
        <v>100</v>
      </c>
      <c r="O65" s="131">
        <v>100</v>
      </c>
      <c r="P65" s="128">
        <f t="shared" si="16"/>
        <v>500</v>
      </c>
      <c r="Q65" s="133">
        <f>(119490*(O65/100)/12)</f>
        <v>9957.5</v>
      </c>
      <c r="R65" s="173">
        <v>45261</v>
      </c>
      <c r="S65" s="134">
        <v>45443</v>
      </c>
      <c r="T65" s="174">
        <v>5</v>
      </c>
      <c r="U65" s="161">
        <f t="shared" si="17"/>
        <v>58749.25</v>
      </c>
      <c r="V65" s="136" t="s">
        <v>203</v>
      </c>
      <c r="W65" s="161">
        <v>20000</v>
      </c>
      <c r="X65" s="163">
        <f t="shared" si="18"/>
        <v>38749.25</v>
      </c>
      <c r="Y65" s="151"/>
      <c r="Z65" s="138" t="s">
        <v>203</v>
      </c>
      <c r="AA65" s="209">
        <v>4000</v>
      </c>
      <c r="AB65" s="209">
        <v>4000</v>
      </c>
      <c r="AC65" s="209">
        <v>4000</v>
      </c>
      <c r="AD65" s="209">
        <v>4000</v>
      </c>
      <c r="AE65" s="209">
        <v>4000</v>
      </c>
      <c r="AF65" s="208"/>
      <c r="AG65" s="211"/>
      <c r="AH65" s="211"/>
      <c r="AI65" s="211"/>
      <c r="AJ65" s="211"/>
      <c r="AK65" s="211"/>
      <c r="AL65" s="209"/>
      <c r="AM65" s="224">
        <f t="shared" si="19"/>
        <v>20000</v>
      </c>
    </row>
    <row r="66" spans="1:39" s="91" customFormat="1" ht="12" x14ac:dyDescent="0.2">
      <c r="A66" s="129" t="s">
        <v>19</v>
      </c>
      <c r="B66" s="127">
        <v>8846</v>
      </c>
      <c r="C66" s="158"/>
      <c r="D66" s="172" t="s">
        <v>117</v>
      </c>
      <c r="E66" s="172" t="s">
        <v>77</v>
      </c>
      <c r="F66" s="126" t="s">
        <v>184</v>
      </c>
      <c r="G66" s="126" t="s">
        <v>185</v>
      </c>
      <c r="H66" s="132" t="s">
        <v>290</v>
      </c>
      <c r="I66" s="126" t="s">
        <v>23</v>
      </c>
      <c r="J66" s="131" t="s">
        <v>33</v>
      </c>
      <c r="K66" s="131" t="s">
        <v>68</v>
      </c>
      <c r="L66" s="131" t="s">
        <v>127</v>
      </c>
      <c r="M66" s="131" t="s">
        <v>32</v>
      </c>
      <c r="N66" s="131">
        <v>100</v>
      </c>
      <c r="O66" s="131">
        <v>100</v>
      </c>
      <c r="P66" s="128">
        <f t="shared" si="16"/>
        <v>500</v>
      </c>
      <c r="Q66" s="133">
        <f>(114164*(O66/100)/12)</f>
        <v>9513.6666666666661</v>
      </c>
      <c r="R66" s="173">
        <v>45261</v>
      </c>
      <c r="S66" s="134">
        <v>45443</v>
      </c>
      <c r="T66" s="174">
        <v>5</v>
      </c>
      <c r="U66" s="161">
        <f t="shared" si="17"/>
        <v>56130.633333333324</v>
      </c>
      <c r="V66" s="136" t="s">
        <v>202</v>
      </c>
      <c r="W66" s="161">
        <v>20000</v>
      </c>
      <c r="X66" s="163">
        <f t="shared" si="18"/>
        <v>36130.633333333324</v>
      </c>
      <c r="Y66" s="151"/>
      <c r="Z66" s="138" t="s">
        <v>202</v>
      </c>
      <c r="AA66" s="209">
        <v>4000</v>
      </c>
      <c r="AB66" s="209">
        <v>4000</v>
      </c>
      <c r="AC66" s="209">
        <v>4000</v>
      </c>
      <c r="AD66" s="209">
        <v>4000</v>
      </c>
      <c r="AE66" s="209">
        <v>4000</v>
      </c>
      <c r="AF66" s="208"/>
      <c r="AG66" s="211"/>
      <c r="AH66" s="211"/>
      <c r="AI66" s="211"/>
      <c r="AJ66" s="211"/>
      <c r="AK66" s="211"/>
      <c r="AL66" s="209"/>
      <c r="AM66" s="224">
        <f t="shared" si="19"/>
        <v>20000</v>
      </c>
    </row>
    <row r="67" spans="1:39" s="91" customFormat="1" ht="12" x14ac:dyDescent="0.2">
      <c r="A67" s="129" t="s">
        <v>19</v>
      </c>
      <c r="B67" s="127">
        <v>8846</v>
      </c>
      <c r="C67" s="158"/>
      <c r="D67" s="172" t="s">
        <v>223</v>
      </c>
      <c r="E67" s="172" t="s">
        <v>77</v>
      </c>
      <c r="F67" s="126" t="s">
        <v>208</v>
      </c>
      <c r="G67" s="126" t="s">
        <v>209</v>
      </c>
      <c r="H67" s="132" t="s">
        <v>291</v>
      </c>
      <c r="I67" s="126" t="s">
        <v>23</v>
      </c>
      <c r="J67" s="131" t="s">
        <v>33</v>
      </c>
      <c r="K67" s="131" t="s">
        <v>68</v>
      </c>
      <c r="L67" s="131" t="s">
        <v>210</v>
      </c>
      <c r="M67" s="131" t="s">
        <v>32</v>
      </c>
      <c r="N67" s="131">
        <v>80</v>
      </c>
      <c r="O67" s="131">
        <v>80</v>
      </c>
      <c r="P67" s="128">
        <f t="shared" si="16"/>
        <v>360</v>
      </c>
      <c r="Q67" s="133">
        <f>(116080*(O67/100)/12)</f>
        <v>7738.666666666667</v>
      </c>
      <c r="R67" s="173">
        <v>45200</v>
      </c>
      <c r="S67" s="134">
        <v>45427</v>
      </c>
      <c r="T67" s="174">
        <v>4.5</v>
      </c>
      <c r="U67" s="161">
        <f t="shared" si="17"/>
        <v>41092.32</v>
      </c>
      <c r="V67" s="136" t="s">
        <v>200</v>
      </c>
      <c r="W67" s="161">
        <v>14400</v>
      </c>
      <c r="X67" s="163">
        <f t="shared" si="18"/>
        <v>26692.32</v>
      </c>
      <c r="Y67" s="151"/>
      <c r="Z67" s="138" t="s">
        <v>200</v>
      </c>
      <c r="AA67" s="209">
        <v>3200</v>
      </c>
      <c r="AB67" s="209">
        <v>3200</v>
      </c>
      <c r="AC67" s="209">
        <v>3200</v>
      </c>
      <c r="AD67" s="209">
        <v>3200</v>
      </c>
      <c r="AE67" s="209">
        <v>1600</v>
      </c>
      <c r="AF67" s="208"/>
      <c r="AG67" s="211"/>
      <c r="AH67" s="211"/>
      <c r="AI67" s="211"/>
      <c r="AJ67" s="209"/>
      <c r="AK67" s="209"/>
      <c r="AL67" s="209"/>
      <c r="AM67" s="224">
        <f t="shared" si="19"/>
        <v>14400</v>
      </c>
    </row>
    <row r="68" spans="1:39" s="91" customFormat="1" ht="12" x14ac:dyDescent="0.2">
      <c r="A68" s="129" t="s">
        <v>19</v>
      </c>
      <c r="B68" s="127">
        <v>8846</v>
      </c>
      <c r="C68" s="158"/>
      <c r="D68" s="172" t="s">
        <v>219</v>
      </c>
      <c r="E68" s="172" t="s">
        <v>77</v>
      </c>
      <c r="F68" s="126" t="s">
        <v>382</v>
      </c>
      <c r="G68" s="126" t="s">
        <v>213</v>
      </c>
      <c r="H68" s="132" t="s">
        <v>292</v>
      </c>
      <c r="I68" s="126" t="s">
        <v>23</v>
      </c>
      <c r="J68" s="131" t="s">
        <v>33</v>
      </c>
      <c r="K68" s="131" t="s">
        <v>68</v>
      </c>
      <c r="L68" s="131" t="s">
        <v>305</v>
      </c>
      <c r="M68" s="131" t="s">
        <v>32</v>
      </c>
      <c r="N68" s="131">
        <v>100</v>
      </c>
      <c r="O68" s="131">
        <v>100</v>
      </c>
      <c r="P68" s="128">
        <f t="shared" si="16"/>
        <v>200</v>
      </c>
      <c r="Q68" s="133">
        <f>(110335*(O68/100)/12)</f>
        <v>9194.5833333333339</v>
      </c>
      <c r="R68" s="173">
        <v>45170</v>
      </c>
      <c r="S68" s="134">
        <v>45351</v>
      </c>
      <c r="T68" s="174">
        <v>2</v>
      </c>
      <c r="U68" s="161">
        <f t="shared" si="17"/>
        <v>21699.216666666667</v>
      </c>
      <c r="V68" s="136" t="s">
        <v>214</v>
      </c>
      <c r="W68" s="161">
        <v>8000</v>
      </c>
      <c r="X68" s="163">
        <f t="shared" si="18"/>
        <v>13699.216666666667</v>
      </c>
      <c r="Y68" s="151"/>
      <c r="Z68" s="138" t="s">
        <v>214</v>
      </c>
      <c r="AA68" s="167">
        <v>4000</v>
      </c>
      <c r="AB68" s="167">
        <v>1619</v>
      </c>
      <c r="AC68" s="207"/>
      <c r="AD68" s="208"/>
      <c r="AE68" s="208"/>
      <c r="AF68" s="208"/>
      <c r="AG68" s="208"/>
      <c r="AH68" s="208"/>
      <c r="AI68" s="209"/>
      <c r="AJ68" s="209"/>
      <c r="AK68" s="209"/>
      <c r="AL68" s="209"/>
      <c r="AM68" s="224">
        <f t="shared" si="19"/>
        <v>5619</v>
      </c>
    </row>
    <row r="69" spans="1:39" s="91" customFormat="1" ht="12" x14ac:dyDescent="0.2">
      <c r="A69" s="129" t="s">
        <v>19</v>
      </c>
      <c r="B69" s="127">
        <v>8846</v>
      </c>
      <c r="C69" s="158"/>
      <c r="D69" s="172" t="s">
        <v>241</v>
      </c>
      <c r="E69" s="172" t="s">
        <v>77</v>
      </c>
      <c r="F69" s="126" t="s">
        <v>238</v>
      </c>
      <c r="G69" s="126" t="s">
        <v>239</v>
      </c>
      <c r="H69" s="132" t="s">
        <v>293</v>
      </c>
      <c r="I69" s="126" t="s">
        <v>23</v>
      </c>
      <c r="J69" s="131" t="s">
        <v>33</v>
      </c>
      <c r="K69" s="131" t="s">
        <v>68</v>
      </c>
      <c r="L69" s="131" t="s">
        <v>128</v>
      </c>
      <c r="M69" s="131" t="s">
        <v>32</v>
      </c>
      <c r="N69" s="131">
        <v>100</v>
      </c>
      <c r="O69" s="131">
        <v>100</v>
      </c>
      <c r="P69" s="128">
        <f t="shared" si="16"/>
        <v>500</v>
      </c>
      <c r="Q69" s="133">
        <f>(103205*(O69/100)/12)</f>
        <v>8600.4166666666661</v>
      </c>
      <c r="R69" s="173">
        <v>45261</v>
      </c>
      <c r="S69" s="134">
        <v>45443</v>
      </c>
      <c r="T69" s="174">
        <v>5</v>
      </c>
      <c r="U69" s="161">
        <f t="shared" si="17"/>
        <v>50742.458333333328</v>
      </c>
      <c r="V69" s="136" t="s">
        <v>332</v>
      </c>
      <c r="W69" s="161">
        <v>20000</v>
      </c>
      <c r="X69" s="163">
        <f t="shared" si="18"/>
        <v>30742.458333333328</v>
      </c>
      <c r="Y69" s="151"/>
      <c r="Z69" s="136" t="s">
        <v>332</v>
      </c>
      <c r="AA69" s="206">
        <v>4000</v>
      </c>
      <c r="AB69" s="206">
        <v>4000</v>
      </c>
      <c r="AC69" s="206">
        <v>4000</v>
      </c>
      <c r="AD69" s="206">
        <v>4000</v>
      </c>
      <c r="AE69" s="206">
        <v>4000</v>
      </c>
      <c r="AF69" s="212"/>
      <c r="AG69" s="212"/>
      <c r="AH69" s="212"/>
      <c r="AI69" s="212"/>
      <c r="AJ69" s="212"/>
      <c r="AK69" s="212"/>
      <c r="AL69" s="146"/>
      <c r="AM69" s="224">
        <f t="shared" si="19"/>
        <v>20000</v>
      </c>
    </row>
    <row r="70" spans="1:39" s="21" customFormat="1" ht="12" customHeight="1" x14ac:dyDescent="0.2">
      <c r="A70" s="129" t="s">
        <v>19</v>
      </c>
      <c r="B70" s="127">
        <v>8846</v>
      </c>
      <c r="C70" s="127"/>
      <c r="D70" s="129"/>
      <c r="E70" s="126" t="s">
        <v>131</v>
      </c>
      <c r="F70" s="129" t="s">
        <v>145</v>
      </c>
      <c r="G70" s="129" t="s">
        <v>146</v>
      </c>
      <c r="H70" s="128"/>
      <c r="I70" s="131" t="s">
        <v>23</v>
      </c>
      <c r="J70" s="129" t="s">
        <v>33</v>
      </c>
      <c r="K70" s="129" t="s">
        <v>69</v>
      </c>
      <c r="L70" s="129" t="s">
        <v>147</v>
      </c>
      <c r="M70" s="131" t="s">
        <v>34</v>
      </c>
      <c r="N70" s="128">
        <v>80</v>
      </c>
      <c r="O70" s="128">
        <v>80</v>
      </c>
      <c r="P70" s="128">
        <f>T70*N70</f>
        <v>400</v>
      </c>
      <c r="Q70" s="133">
        <f t="shared" ref="Q70" si="20">(103205*(O70/100)/12)</f>
        <v>6880.333333333333</v>
      </c>
      <c r="R70" s="134">
        <v>45505</v>
      </c>
      <c r="S70" s="134">
        <v>45731</v>
      </c>
      <c r="T70" s="140">
        <v>5</v>
      </c>
      <c r="U70" s="161">
        <f>(Q70*T70)*1.18</f>
        <v>40593.96666666666</v>
      </c>
      <c r="V70" s="131" t="s">
        <v>373</v>
      </c>
      <c r="W70" s="162">
        <v>8000</v>
      </c>
      <c r="X70" s="163">
        <f>U70-W70</f>
        <v>32593.96666666666</v>
      </c>
      <c r="Y70" s="157"/>
      <c r="Z70" s="157" t="s">
        <v>373</v>
      </c>
      <c r="AA70" s="164"/>
      <c r="AB70" s="164"/>
      <c r="AC70" s="164"/>
      <c r="AD70" s="210"/>
      <c r="AE70" s="210"/>
      <c r="AF70" s="210"/>
      <c r="AG70" s="210"/>
      <c r="AH70" s="206">
        <v>3200</v>
      </c>
      <c r="AI70" s="206">
        <v>3200</v>
      </c>
      <c r="AJ70" s="206">
        <v>3200</v>
      </c>
      <c r="AK70" s="206">
        <v>3200</v>
      </c>
      <c r="AL70" s="206">
        <v>3200</v>
      </c>
      <c r="AM70" s="225">
        <f>SUM(AH70:AL70)</f>
        <v>16000</v>
      </c>
    </row>
    <row r="71" spans="1:39" s="21" customFormat="1" ht="12" x14ac:dyDescent="0.2">
      <c r="A71" s="129" t="s">
        <v>19</v>
      </c>
      <c r="B71" s="127">
        <v>8846</v>
      </c>
      <c r="C71" s="127"/>
      <c r="D71" s="129" t="s">
        <v>240</v>
      </c>
      <c r="E71" s="126" t="s">
        <v>131</v>
      </c>
      <c r="F71" s="129" t="s">
        <v>164</v>
      </c>
      <c r="G71" s="129" t="s">
        <v>165</v>
      </c>
      <c r="H71" s="128">
        <v>328627</v>
      </c>
      <c r="I71" s="131" t="s">
        <v>23</v>
      </c>
      <c r="J71" s="129" t="s">
        <v>33</v>
      </c>
      <c r="K71" s="129" t="s">
        <v>68</v>
      </c>
      <c r="L71" s="129" t="s">
        <v>166</v>
      </c>
      <c r="M71" s="131" t="s">
        <v>32</v>
      </c>
      <c r="N71" s="128">
        <v>100</v>
      </c>
      <c r="O71" s="128">
        <v>100</v>
      </c>
      <c r="P71" s="128">
        <f>T71*N71</f>
        <v>600</v>
      </c>
      <c r="Q71" s="133">
        <f>(112250*(O71/100)/12)</f>
        <v>9354.1666666666661</v>
      </c>
      <c r="R71" s="134">
        <v>45292</v>
      </c>
      <c r="S71" s="134">
        <v>45473</v>
      </c>
      <c r="T71" s="140">
        <v>6</v>
      </c>
      <c r="U71" s="161">
        <f>(Q71*T71)*1.18</f>
        <v>66227.5</v>
      </c>
      <c r="V71" s="131" t="s">
        <v>215</v>
      </c>
      <c r="W71" s="162">
        <v>24000</v>
      </c>
      <c r="X71" s="163">
        <f>U71-W71</f>
        <v>42227.5</v>
      </c>
      <c r="Y71" s="157"/>
      <c r="Z71" s="131" t="s">
        <v>215</v>
      </c>
      <c r="AA71" s="206">
        <v>4000</v>
      </c>
      <c r="AB71" s="206">
        <v>4000</v>
      </c>
      <c r="AC71" s="206">
        <v>4000</v>
      </c>
      <c r="AD71" s="206">
        <v>4000</v>
      </c>
      <c r="AE71" s="206">
        <v>4000</v>
      </c>
      <c r="AF71" s="206">
        <v>4000</v>
      </c>
      <c r="AG71" s="210"/>
      <c r="AH71" s="210"/>
      <c r="AI71" s="210"/>
      <c r="AJ71" s="210"/>
      <c r="AK71" s="210"/>
      <c r="AL71" s="210"/>
      <c r="AM71" s="225">
        <f>SUM(AA71:AF71)</f>
        <v>24000</v>
      </c>
    </row>
    <row r="72" spans="1:39" s="91" customFormat="1" ht="12" x14ac:dyDescent="0.2">
      <c r="A72" s="129" t="s">
        <v>19</v>
      </c>
      <c r="B72" s="127">
        <v>8846</v>
      </c>
      <c r="C72" s="158"/>
      <c r="D72" s="126" t="s">
        <v>223</v>
      </c>
      <c r="E72" s="126" t="s">
        <v>131</v>
      </c>
      <c r="F72" s="129" t="s">
        <v>170</v>
      </c>
      <c r="G72" s="129" t="s">
        <v>171</v>
      </c>
      <c r="H72" s="132"/>
      <c r="I72" s="131" t="s">
        <v>23</v>
      </c>
      <c r="J72" s="129" t="s">
        <v>33</v>
      </c>
      <c r="K72" s="129" t="s">
        <v>68</v>
      </c>
      <c r="L72" s="129" t="s">
        <v>173</v>
      </c>
      <c r="M72" s="131" t="s">
        <v>32</v>
      </c>
      <c r="N72" s="128">
        <v>80</v>
      </c>
      <c r="O72" s="128">
        <v>80</v>
      </c>
      <c r="P72" s="128">
        <f>T72*N72</f>
        <v>600</v>
      </c>
      <c r="Q72" s="133">
        <f>(116080*(O72/100)/12)</f>
        <v>7738.666666666667</v>
      </c>
      <c r="R72" s="134">
        <v>45383</v>
      </c>
      <c r="S72" s="134">
        <v>45611</v>
      </c>
      <c r="T72" s="140">
        <v>7.5</v>
      </c>
      <c r="U72" s="161">
        <f>(Q72*T72)*1.18</f>
        <v>68487.199999999997</v>
      </c>
      <c r="V72" s="136"/>
      <c r="W72" s="162">
        <v>24000</v>
      </c>
      <c r="X72" s="163">
        <f>U72-W72</f>
        <v>44487.199999999997</v>
      </c>
      <c r="Y72" s="151"/>
      <c r="Z72" s="151"/>
      <c r="AA72" s="207"/>
      <c r="AB72" s="207"/>
      <c r="AC72" s="207"/>
      <c r="AD72" s="208"/>
      <c r="AE72" s="208"/>
      <c r="AF72" s="208"/>
      <c r="AG72" s="208"/>
      <c r="AH72" s="208"/>
      <c r="AI72" s="208"/>
      <c r="AJ72" s="208"/>
      <c r="AK72" s="208"/>
      <c r="AL72" s="208"/>
      <c r="AM72" s="88"/>
    </row>
    <row r="73" spans="1:39" s="91" customFormat="1" ht="12" x14ac:dyDescent="0.2">
      <c r="A73" s="129" t="s">
        <v>19</v>
      </c>
      <c r="B73" s="127">
        <v>8846</v>
      </c>
      <c r="C73" s="158"/>
      <c r="D73" s="126"/>
      <c r="E73" s="126" t="s">
        <v>131</v>
      </c>
      <c r="F73" s="126" t="s">
        <v>186</v>
      </c>
      <c r="G73" s="126" t="s">
        <v>187</v>
      </c>
      <c r="H73" s="132"/>
      <c r="I73" s="126" t="s">
        <v>23</v>
      </c>
      <c r="J73" s="131" t="s">
        <v>33</v>
      </c>
      <c r="K73" s="131" t="s">
        <v>69</v>
      </c>
      <c r="L73" s="131" t="s">
        <v>188</v>
      </c>
      <c r="M73" s="131" t="s">
        <v>34</v>
      </c>
      <c r="N73" s="131">
        <v>80</v>
      </c>
      <c r="O73" s="131">
        <v>80</v>
      </c>
      <c r="P73" s="158">
        <f>T73*N73</f>
        <v>320</v>
      </c>
      <c r="Q73" s="133">
        <v>9200</v>
      </c>
      <c r="R73" s="134">
        <v>45536</v>
      </c>
      <c r="S73" s="134">
        <v>45762</v>
      </c>
      <c r="T73" s="140">
        <v>4</v>
      </c>
      <c r="U73" s="161">
        <f t="shared" ref="U73:U97" si="21">(Q73*T73)*1.18</f>
        <v>43424</v>
      </c>
      <c r="V73" s="136" t="s">
        <v>374</v>
      </c>
      <c r="W73" s="162">
        <v>11200</v>
      </c>
      <c r="X73" s="163">
        <f t="shared" ref="X73" si="22">U73-W73</f>
        <v>32224</v>
      </c>
      <c r="Y73" s="151"/>
      <c r="Z73" s="151" t="s">
        <v>374</v>
      </c>
      <c r="AA73" s="208"/>
      <c r="AB73" s="208"/>
      <c r="AC73" s="208"/>
      <c r="AD73" s="208"/>
      <c r="AE73" s="208"/>
      <c r="AF73" s="208"/>
      <c r="AG73" s="208"/>
      <c r="AH73" s="208"/>
      <c r="AI73" s="206">
        <v>3200</v>
      </c>
      <c r="AJ73" s="206">
        <v>3200</v>
      </c>
      <c r="AK73" s="206">
        <v>3200</v>
      </c>
      <c r="AL73" s="206">
        <v>3200</v>
      </c>
      <c r="AM73" s="89">
        <f>SUM(AI73:AL73)</f>
        <v>12800</v>
      </c>
    </row>
    <row r="74" spans="1:39" s="91" customFormat="1" ht="12" x14ac:dyDescent="0.2">
      <c r="A74" s="129" t="s">
        <v>19</v>
      </c>
      <c r="B74" s="127">
        <v>8846</v>
      </c>
      <c r="C74" s="158"/>
      <c r="D74" s="172" t="s">
        <v>219</v>
      </c>
      <c r="E74" s="172" t="s">
        <v>131</v>
      </c>
      <c r="F74" s="126" t="s">
        <v>189</v>
      </c>
      <c r="G74" s="126" t="s">
        <v>190</v>
      </c>
      <c r="H74" s="132"/>
      <c r="I74" s="126" t="s">
        <v>23</v>
      </c>
      <c r="J74" s="131" t="s">
        <v>33</v>
      </c>
      <c r="K74" s="131" t="s">
        <v>68</v>
      </c>
      <c r="L74" s="131" t="s">
        <v>193</v>
      </c>
      <c r="M74" s="131" t="s">
        <v>32</v>
      </c>
      <c r="N74" s="131">
        <v>60</v>
      </c>
      <c r="O74" s="131">
        <v>60</v>
      </c>
      <c r="P74" s="128">
        <f t="shared" ref="P74:P77" si="23">T74*N74</f>
        <v>480</v>
      </c>
      <c r="Q74" s="137">
        <f>(110335*(O74/100)/12)</f>
        <v>5516.75</v>
      </c>
      <c r="R74" s="134">
        <v>45413</v>
      </c>
      <c r="S74" s="134">
        <v>45716</v>
      </c>
      <c r="T74" s="174">
        <v>8</v>
      </c>
      <c r="U74" s="161">
        <f t="shared" si="21"/>
        <v>52078.119999999995</v>
      </c>
      <c r="V74" s="136" t="s">
        <v>217</v>
      </c>
      <c r="W74" s="161">
        <v>19200</v>
      </c>
      <c r="X74" s="163">
        <f>U74-W74</f>
        <v>32878.119999999995</v>
      </c>
      <c r="Y74" s="151"/>
      <c r="Z74" s="136" t="s">
        <v>217</v>
      </c>
      <c r="AA74" s="208"/>
      <c r="AB74" s="208"/>
      <c r="AC74" s="208"/>
      <c r="AD74" s="208"/>
      <c r="AE74" s="206">
        <v>2400</v>
      </c>
      <c r="AF74" s="206">
        <v>2400</v>
      </c>
      <c r="AG74" s="206">
        <v>2400</v>
      </c>
      <c r="AH74" s="206">
        <v>2400</v>
      </c>
      <c r="AI74" s="206">
        <v>2400</v>
      </c>
      <c r="AJ74" s="206">
        <v>2400</v>
      </c>
      <c r="AK74" s="206">
        <v>2400</v>
      </c>
      <c r="AL74" s="206">
        <v>2400</v>
      </c>
      <c r="AM74" s="89">
        <f>SUM(AE74:AL74)</f>
        <v>19200</v>
      </c>
    </row>
    <row r="75" spans="1:39" s="96" customFormat="1" ht="12" x14ac:dyDescent="0.2">
      <c r="A75" s="151" t="s">
        <v>19</v>
      </c>
      <c r="B75" s="127">
        <v>8846</v>
      </c>
      <c r="C75" s="158"/>
      <c r="D75" s="141" t="s">
        <v>117</v>
      </c>
      <c r="E75" s="126">
        <v>2024</v>
      </c>
      <c r="F75" s="141" t="s">
        <v>194</v>
      </c>
      <c r="G75" s="141" t="s">
        <v>195</v>
      </c>
      <c r="H75" s="175" t="s">
        <v>294</v>
      </c>
      <c r="I75" s="126" t="s">
        <v>23</v>
      </c>
      <c r="J75" s="131" t="s">
        <v>33</v>
      </c>
      <c r="K75" s="131" t="s">
        <v>69</v>
      </c>
      <c r="L75" s="131" t="s">
        <v>196</v>
      </c>
      <c r="M75" s="131" t="s">
        <v>34</v>
      </c>
      <c r="N75" s="131">
        <v>70</v>
      </c>
      <c r="O75" s="131">
        <v>70</v>
      </c>
      <c r="P75" s="158">
        <f t="shared" si="23"/>
        <v>602</v>
      </c>
      <c r="Q75" s="137">
        <f>(114164*(O75/100)/12)</f>
        <v>6659.5666666666657</v>
      </c>
      <c r="R75" s="134">
        <v>45292</v>
      </c>
      <c r="S75" s="134">
        <v>45554</v>
      </c>
      <c r="T75" s="135">
        <v>8.6</v>
      </c>
      <c r="U75" s="176">
        <f t="shared" si="21"/>
        <v>67581.282533333317</v>
      </c>
      <c r="V75" s="177" t="s">
        <v>218</v>
      </c>
      <c r="W75" s="176">
        <v>24000</v>
      </c>
      <c r="X75" s="178">
        <f>U75-W75</f>
        <v>43581.282533333317</v>
      </c>
      <c r="Y75" s="151"/>
      <c r="Z75" s="177" t="s">
        <v>218</v>
      </c>
      <c r="AA75" s="206">
        <v>2790</v>
      </c>
      <c r="AB75" s="206">
        <v>2790</v>
      </c>
      <c r="AC75" s="206">
        <v>2790</v>
      </c>
      <c r="AD75" s="206">
        <v>2790</v>
      </c>
      <c r="AE75" s="206">
        <v>2790</v>
      </c>
      <c r="AF75" s="206">
        <v>2790</v>
      </c>
      <c r="AG75" s="206">
        <v>2790</v>
      </c>
      <c r="AH75" s="206">
        <v>2790</v>
      </c>
      <c r="AI75" s="206">
        <v>1680</v>
      </c>
      <c r="AJ75" s="213"/>
      <c r="AK75" s="207"/>
      <c r="AL75" s="207"/>
      <c r="AM75" s="226">
        <f>SUM(AA75:AL75)</f>
        <v>24000</v>
      </c>
    </row>
    <row r="76" spans="1:39" s="96" customFormat="1" ht="12" x14ac:dyDescent="0.2">
      <c r="A76" s="131" t="s">
        <v>19</v>
      </c>
      <c r="B76" s="127">
        <v>8846</v>
      </c>
      <c r="C76" s="158"/>
      <c r="D76" s="129" t="s">
        <v>117</v>
      </c>
      <c r="E76" s="126">
        <v>2024</v>
      </c>
      <c r="F76" s="141" t="s">
        <v>206</v>
      </c>
      <c r="G76" s="141" t="s">
        <v>212</v>
      </c>
      <c r="H76" s="175" t="s">
        <v>295</v>
      </c>
      <c r="I76" s="126" t="s">
        <v>23</v>
      </c>
      <c r="J76" s="131" t="s">
        <v>33</v>
      </c>
      <c r="K76" s="131" t="s">
        <v>68</v>
      </c>
      <c r="L76" s="131" t="s">
        <v>207</v>
      </c>
      <c r="M76" s="131" t="s">
        <v>32</v>
      </c>
      <c r="N76" s="131">
        <v>50</v>
      </c>
      <c r="O76" s="131">
        <v>50</v>
      </c>
      <c r="P76" s="158">
        <f t="shared" si="23"/>
        <v>600</v>
      </c>
      <c r="Q76" s="137">
        <f>(114164*(O76/100)/12)</f>
        <v>4756.833333333333</v>
      </c>
      <c r="R76" s="134">
        <v>45292</v>
      </c>
      <c r="S76" s="134">
        <v>45657</v>
      </c>
      <c r="T76" s="135">
        <v>12</v>
      </c>
      <c r="U76" s="161">
        <f t="shared" si="21"/>
        <v>67356.759999999995</v>
      </c>
      <c r="V76" s="177" t="s">
        <v>333</v>
      </c>
      <c r="W76" s="161">
        <v>24000</v>
      </c>
      <c r="X76" s="179">
        <f t="shared" ref="X76:X77" si="24">U76-W76</f>
        <v>43356.759999999995</v>
      </c>
      <c r="Y76" s="151"/>
      <c r="Z76" s="177" t="s">
        <v>333</v>
      </c>
      <c r="AA76" s="206">
        <v>2000</v>
      </c>
      <c r="AB76" s="206">
        <v>2000</v>
      </c>
      <c r="AC76" s="206">
        <v>2000</v>
      </c>
      <c r="AD76" s="206">
        <v>2000</v>
      </c>
      <c r="AE76" s="206">
        <v>2000</v>
      </c>
      <c r="AF76" s="206">
        <v>2000</v>
      </c>
      <c r="AG76" s="206">
        <v>2000</v>
      </c>
      <c r="AH76" s="206">
        <v>2000</v>
      </c>
      <c r="AI76" s="206">
        <v>2000</v>
      </c>
      <c r="AJ76" s="206">
        <v>2000</v>
      </c>
      <c r="AK76" s="206">
        <v>2000</v>
      </c>
      <c r="AL76" s="206">
        <v>2000</v>
      </c>
      <c r="AM76" s="226">
        <f>SUM(AA76:AL76)</f>
        <v>24000</v>
      </c>
    </row>
    <row r="77" spans="1:39" s="96" customFormat="1" ht="12" x14ac:dyDescent="0.2">
      <c r="A77" s="131" t="s">
        <v>19</v>
      </c>
      <c r="B77" s="127">
        <v>8846</v>
      </c>
      <c r="C77" s="158"/>
      <c r="D77" s="141" t="s">
        <v>223</v>
      </c>
      <c r="E77" s="126" t="s">
        <v>131</v>
      </c>
      <c r="F77" s="141" t="s">
        <v>224</v>
      </c>
      <c r="G77" s="141" t="s">
        <v>225</v>
      </c>
      <c r="H77" s="175" t="s">
        <v>296</v>
      </c>
      <c r="I77" s="126" t="s">
        <v>23</v>
      </c>
      <c r="J77" s="131" t="s">
        <v>33</v>
      </c>
      <c r="K77" s="131" t="s">
        <v>69</v>
      </c>
      <c r="L77" s="131" t="s">
        <v>226</v>
      </c>
      <c r="M77" s="131" t="s">
        <v>34</v>
      </c>
      <c r="N77" s="131">
        <v>60</v>
      </c>
      <c r="O77" s="131">
        <v>60</v>
      </c>
      <c r="P77" s="158">
        <f t="shared" si="23"/>
        <v>600</v>
      </c>
      <c r="Q77" s="137">
        <f>(116080*(O77/100)/12)</f>
        <v>5804</v>
      </c>
      <c r="R77" s="134">
        <v>45323</v>
      </c>
      <c r="S77" s="134">
        <v>45626</v>
      </c>
      <c r="T77" s="135">
        <v>10</v>
      </c>
      <c r="U77" s="161">
        <f t="shared" si="21"/>
        <v>68487.199999999997</v>
      </c>
      <c r="V77" s="177" t="s">
        <v>342</v>
      </c>
      <c r="W77" s="161">
        <v>24000</v>
      </c>
      <c r="X77" s="178">
        <f t="shared" si="24"/>
        <v>44487.199999999997</v>
      </c>
      <c r="Y77" s="151"/>
      <c r="Z77" s="177" t="s">
        <v>342</v>
      </c>
      <c r="AA77" s="214"/>
      <c r="AB77" s="206">
        <v>2400</v>
      </c>
      <c r="AC77" s="206">
        <v>2400</v>
      </c>
      <c r="AD77" s="206">
        <v>2400</v>
      </c>
      <c r="AE77" s="206">
        <v>2400</v>
      </c>
      <c r="AF77" s="206">
        <v>2400</v>
      </c>
      <c r="AG77" s="206">
        <v>2400</v>
      </c>
      <c r="AH77" s="206">
        <v>2400</v>
      </c>
      <c r="AI77" s="206">
        <v>2400</v>
      </c>
      <c r="AJ77" s="206">
        <v>2400</v>
      </c>
      <c r="AK77" s="206">
        <v>2400</v>
      </c>
      <c r="AL77" s="207"/>
      <c r="AM77" s="226">
        <f>SUM(AB77:AL77)</f>
        <v>24000</v>
      </c>
    </row>
    <row r="78" spans="1:39" s="96" customFormat="1" ht="12" x14ac:dyDescent="0.2">
      <c r="A78" s="131" t="s">
        <v>19</v>
      </c>
      <c r="B78" s="127">
        <v>8846</v>
      </c>
      <c r="C78" s="158"/>
      <c r="D78" s="141" t="s">
        <v>240</v>
      </c>
      <c r="E78" s="126">
        <v>2024</v>
      </c>
      <c r="F78" s="141" t="s">
        <v>46</v>
      </c>
      <c r="G78" s="141" t="s">
        <v>48</v>
      </c>
      <c r="H78" s="175" t="s">
        <v>297</v>
      </c>
      <c r="I78" s="126" t="s">
        <v>23</v>
      </c>
      <c r="J78" s="131" t="s">
        <v>33</v>
      </c>
      <c r="K78" s="131" t="s">
        <v>68</v>
      </c>
      <c r="L78" s="131" t="s">
        <v>234</v>
      </c>
      <c r="M78" s="131" t="s">
        <v>32</v>
      </c>
      <c r="N78" s="131">
        <v>80</v>
      </c>
      <c r="O78" s="131">
        <v>80</v>
      </c>
      <c r="P78" s="158">
        <f>T78*N78</f>
        <v>600</v>
      </c>
      <c r="Q78" s="137">
        <f>(112250*(O78/100)/12)</f>
        <v>7483.333333333333</v>
      </c>
      <c r="R78" s="134">
        <v>45292</v>
      </c>
      <c r="S78" s="134">
        <v>45519</v>
      </c>
      <c r="T78" s="135">
        <v>7.5</v>
      </c>
      <c r="U78" s="176">
        <f t="shared" si="21"/>
        <v>66227.5</v>
      </c>
      <c r="V78" s="177" t="s">
        <v>334</v>
      </c>
      <c r="W78" s="176">
        <v>24000</v>
      </c>
      <c r="X78" s="178">
        <f>U78-W78</f>
        <v>42227.5</v>
      </c>
      <c r="Y78" s="151"/>
      <c r="Z78" s="177" t="s">
        <v>334</v>
      </c>
      <c r="AA78" s="206">
        <v>3200</v>
      </c>
      <c r="AB78" s="206">
        <v>3200</v>
      </c>
      <c r="AC78" s="206">
        <v>3200</v>
      </c>
      <c r="AD78" s="206">
        <v>3200</v>
      </c>
      <c r="AE78" s="206">
        <v>3200</v>
      </c>
      <c r="AF78" s="206">
        <v>3200</v>
      </c>
      <c r="AG78" s="206">
        <v>3200</v>
      </c>
      <c r="AH78" s="206">
        <v>1600</v>
      </c>
      <c r="AI78" s="213"/>
      <c r="AJ78" s="207"/>
      <c r="AK78" s="207"/>
      <c r="AL78" s="207"/>
      <c r="AM78" s="226">
        <f>SUM(AA78:AL78)</f>
        <v>24000</v>
      </c>
    </row>
    <row r="79" spans="1:39" s="96" customFormat="1" ht="12" x14ac:dyDescent="0.2">
      <c r="A79" s="131" t="s">
        <v>19</v>
      </c>
      <c r="B79" s="127">
        <v>8846</v>
      </c>
      <c r="C79" s="158"/>
      <c r="D79" s="141" t="s">
        <v>219</v>
      </c>
      <c r="E79" s="126" t="s">
        <v>131</v>
      </c>
      <c r="F79" s="141" t="s">
        <v>242</v>
      </c>
      <c r="G79" s="141" t="s">
        <v>243</v>
      </c>
      <c r="H79" s="175" t="s">
        <v>298</v>
      </c>
      <c r="I79" s="126" t="s">
        <v>23</v>
      </c>
      <c r="J79" s="131" t="s">
        <v>33</v>
      </c>
      <c r="K79" s="131" t="s">
        <v>68</v>
      </c>
      <c r="L79" s="131" t="s">
        <v>244</v>
      </c>
      <c r="M79" s="131" t="s">
        <v>32</v>
      </c>
      <c r="N79" s="131">
        <v>100</v>
      </c>
      <c r="O79" s="131">
        <v>100</v>
      </c>
      <c r="P79" s="158">
        <f>T79*N79</f>
        <v>600</v>
      </c>
      <c r="Q79" s="137">
        <f>(110335*(O79/100)/12)</f>
        <v>9194.5833333333339</v>
      </c>
      <c r="R79" s="134">
        <v>45292</v>
      </c>
      <c r="S79" s="134">
        <v>45473</v>
      </c>
      <c r="T79" s="135">
        <v>6</v>
      </c>
      <c r="U79" s="176">
        <f t="shared" si="21"/>
        <v>65097.649999999994</v>
      </c>
      <c r="V79" s="177" t="s">
        <v>335</v>
      </c>
      <c r="W79" s="176">
        <v>24000</v>
      </c>
      <c r="X79" s="178">
        <f t="shared" ref="X79:X97" si="25">U79-W79</f>
        <v>41097.649999999994</v>
      </c>
      <c r="Y79" s="151"/>
      <c r="Z79" s="177" t="s">
        <v>335</v>
      </c>
      <c r="AA79" s="206">
        <v>4000</v>
      </c>
      <c r="AB79" s="206">
        <v>4000</v>
      </c>
      <c r="AC79" s="206">
        <v>4000</v>
      </c>
      <c r="AD79" s="206">
        <v>4000</v>
      </c>
      <c r="AE79" s="206">
        <v>4000</v>
      </c>
      <c r="AF79" s="206">
        <v>4000</v>
      </c>
      <c r="AG79" s="207"/>
      <c r="AH79" s="207"/>
      <c r="AI79" s="207"/>
      <c r="AJ79" s="207"/>
      <c r="AK79" s="207"/>
      <c r="AL79" s="207"/>
      <c r="AM79" s="226">
        <f>SUM(AA79:AL79)</f>
        <v>24000</v>
      </c>
    </row>
    <row r="80" spans="1:39" s="96" customFormat="1" ht="12" x14ac:dyDescent="0.2">
      <c r="A80" s="131" t="s">
        <v>19</v>
      </c>
      <c r="B80" s="127">
        <v>8846</v>
      </c>
      <c r="C80" s="158"/>
      <c r="D80" s="141" t="s">
        <v>240</v>
      </c>
      <c r="E80" s="126" t="s">
        <v>131</v>
      </c>
      <c r="F80" s="141" t="s">
        <v>245</v>
      </c>
      <c r="G80" s="141" t="s">
        <v>246</v>
      </c>
      <c r="H80" s="175" t="s">
        <v>299</v>
      </c>
      <c r="I80" s="126" t="s">
        <v>23</v>
      </c>
      <c r="J80" s="131" t="s">
        <v>33</v>
      </c>
      <c r="K80" s="131" t="s">
        <v>68</v>
      </c>
      <c r="L80" s="131" t="s">
        <v>247</v>
      </c>
      <c r="M80" s="131" t="s">
        <v>32</v>
      </c>
      <c r="N80" s="131">
        <v>100</v>
      </c>
      <c r="O80" s="131">
        <v>100</v>
      </c>
      <c r="P80" s="158">
        <f>T80*N80</f>
        <v>600</v>
      </c>
      <c r="Q80" s="137">
        <f>(112250*(O80/100)/12)</f>
        <v>9354.1666666666661</v>
      </c>
      <c r="R80" s="134">
        <v>45341</v>
      </c>
      <c r="S80" s="134">
        <v>45522</v>
      </c>
      <c r="T80" s="135">
        <v>6</v>
      </c>
      <c r="U80" s="176">
        <f t="shared" si="21"/>
        <v>66227.5</v>
      </c>
      <c r="V80" s="177" t="s">
        <v>336</v>
      </c>
      <c r="W80" s="176">
        <v>24000</v>
      </c>
      <c r="X80" s="178">
        <f t="shared" si="25"/>
        <v>42227.5</v>
      </c>
      <c r="Y80" s="151"/>
      <c r="Z80" s="177" t="s">
        <v>336</v>
      </c>
      <c r="AA80" s="207"/>
      <c r="AB80" s="206">
        <v>4000</v>
      </c>
      <c r="AC80" s="206">
        <v>4000</v>
      </c>
      <c r="AD80" s="206">
        <v>4000</v>
      </c>
      <c r="AE80" s="206">
        <v>4000</v>
      </c>
      <c r="AF80" s="206">
        <v>4000</v>
      </c>
      <c r="AG80" s="206">
        <v>4000</v>
      </c>
      <c r="AH80" s="206"/>
      <c r="AI80" s="207"/>
      <c r="AJ80" s="207"/>
      <c r="AK80" s="207"/>
      <c r="AL80" s="207"/>
      <c r="AM80" s="96">
        <f>SUM(AA80:AL80)</f>
        <v>24000</v>
      </c>
    </row>
    <row r="81" spans="1:39" s="96" customFormat="1" ht="12" x14ac:dyDescent="0.2">
      <c r="A81" s="131" t="s">
        <v>19</v>
      </c>
      <c r="B81" s="127">
        <v>8846</v>
      </c>
      <c r="C81" s="158"/>
      <c r="D81" s="141"/>
      <c r="E81" s="126">
        <v>2024</v>
      </c>
      <c r="F81" s="141" t="s">
        <v>235</v>
      </c>
      <c r="G81" s="141" t="s">
        <v>236</v>
      </c>
      <c r="H81" s="175"/>
      <c r="I81" s="126" t="s">
        <v>23</v>
      </c>
      <c r="J81" s="131" t="s">
        <v>33</v>
      </c>
      <c r="K81" s="131" t="s">
        <v>69</v>
      </c>
      <c r="L81" s="131" t="s">
        <v>237</v>
      </c>
      <c r="M81" s="131" t="s">
        <v>34</v>
      </c>
      <c r="N81" s="131">
        <v>60</v>
      </c>
      <c r="O81" s="131">
        <v>60</v>
      </c>
      <c r="P81" s="131">
        <f t="shared" ref="P81:P108" si="26">T81*N81</f>
        <v>180</v>
      </c>
      <c r="Q81" s="131">
        <f t="shared" ref="Q81:Q82" si="27">(111029*(O81/100)/12)</f>
        <v>5551.45</v>
      </c>
      <c r="R81" s="134">
        <v>45566</v>
      </c>
      <c r="S81" s="134">
        <v>45869</v>
      </c>
      <c r="T81" s="135">
        <v>3</v>
      </c>
      <c r="U81" s="176">
        <f t="shared" si="21"/>
        <v>19652.132999999998</v>
      </c>
      <c r="V81" s="177" t="s">
        <v>375</v>
      </c>
      <c r="W81" s="176">
        <v>7200</v>
      </c>
      <c r="X81" s="178">
        <f t="shared" si="25"/>
        <v>12452.132999999998</v>
      </c>
      <c r="Y81" s="151"/>
      <c r="Z81" s="151" t="s">
        <v>375</v>
      </c>
      <c r="AA81" s="207"/>
      <c r="AB81" s="207"/>
      <c r="AC81" s="207"/>
      <c r="AD81" s="207"/>
      <c r="AE81" s="207"/>
      <c r="AF81" s="207"/>
      <c r="AG81" s="207"/>
      <c r="AH81" s="207"/>
      <c r="AI81" s="207"/>
      <c r="AJ81" s="206">
        <v>2400</v>
      </c>
      <c r="AK81" s="206">
        <v>2400</v>
      </c>
      <c r="AL81" s="206">
        <v>2400</v>
      </c>
      <c r="AM81" s="226">
        <f>SUM(AJ81:AL81)</f>
        <v>7200</v>
      </c>
    </row>
    <row r="82" spans="1:39" s="96" customFormat="1" ht="12" x14ac:dyDescent="0.2">
      <c r="A82" s="131" t="s">
        <v>19</v>
      </c>
      <c r="B82" s="127">
        <v>8846</v>
      </c>
      <c r="C82" s="158"/>
      <c r="D82" s="141"/>
      <c r="E82" s="126" t="s">
        <v>131</v>
      </c>
      <c r="F82" s="141" t="s">
        <v>253</v>
      </c>
      <c r="G82" s="141" t="s">
        <v>119</v>
      </c>
      <c r="H82" s="175"/>
      <c r="I82" s="126" t="s">
        <v>23</v>
      </c>
      <c r="J82" s="131" t="s">
        <v>33</v>
      </c>
      <c r="K82" s="131" t="s">
        <v>69</v>
      </c>
      <c r="L82" s="131" t="s">
        <v>361</v>
      </c>
      <c r="M82" s="131" t="s">
        <v>34</v>
      </c>
      <c r="N82" s="131">
        <v>80</v>
      </c>
      <c r="O82" s="131">
        <v>80</v>
      </c>
      <c r="P82" s="131">
        <f t="shared" si="26"/>
        <v>160</v>
      </c>
      <c r="Q82" s="137">
        <f t="shared" si="27"/>
        <v>7401.9333333333343</v>
      </c>
      <c r="R82" s="134">
        <v>45597</v>
      </c>
      <c r="S82" s="134">
        <v>45823</v>
      </c>
      <c r="T82" s="135">
        <v>2</v>
      </c>
      <c r="U82" s="176">
        <f t="shared" si="21"/>
        <v>17468.562666666669</v>
      </c>
      <c r="V82" s="177" t="s">
        <v>377</v>
      </c>
      <c r="W82" s="176">
        <v>6400</v>
      </c>
      <c r="X82" s="178">
        <f t="shared" si="25"/>
        <v>11068.562666666669</v>
      </c>
      <c r="Y82" s="151"/>
      <c r="Z82" s="177" t="s">
        <v>377</v>
      </c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6">
        <v>3200</v>
      </c>
      <c r="AL82" s="206">
        <v>3200</v>
      </c>
      <c r="AM82" s="226">
        <f>SUM(AK82:AL82)</f>
        <v>6400</v>
      </c>
    </row>
    <row r="83" spans="1:39" s="96" customFormat="1" ht="12" x14ac:dyDescent="0.2">
      <c r="A83" s="131" t="s">
        <v>19</v>
      </c>
      <c r="B83" s="127">
        <v>8846</v>
      </c>
      <c r="C83" s="158"/>
      <c r="D83" s="141" t="s">
        <v>117</v>
      </c>
      <c r="E83" s="126" t="s">
        <v>131</v>
      </c>
      <c r="F83" s="141" t="s">
        <v>255</v>
      </c>
      <c r="G83" s="141" t="s">
        <v>256</v>
      </c>
      <c r="H83" s="175"/>
      <c r="I83" s="126" t="s">
        <v>23</v>
      </c>
      <c r="J83" s="131" t="s">
        <v>33</v>
      </c>
      <c r="K83" s="131" t="s">
        <v>69</v>
      </c>
      <c r="L83" s="131" t="s">
        <v>260</v>
      </c>
      <c r="M83" s="131" t="s">
        <v>34</v>
      </c>
      <c r="N83" s="131">
        <v>80</v>
      </c>
      <c r="O83" s="131">
        <v>80</v>
      </c>
      <c r="P83" s="131">
        <f t="shared" si="26"/>
        <v>600</v>
      </c>
      <c r="Q83" s="137">
        <f>(114164*(O83/100)/12)</f>
        <v>7610.9333333333343</v>
      </c>
      <c r="R83" s="134">
        <v>45323</v>
      </c>
      <c r="S83" s="134">
        <v>45550</v>
      </c>
      <c r="T83" s="135">
        <v>7.5</v>
      </c>
      <c r="U83" s="176">
        <f t="shared" si="21"/>
        <v>67356.760000000009</v>
      </c>
      <c r="V83" s="177" t="s">
        <v>337</v>
      </c>
      <c r="W83" s="176">
        <v>24000</v>
      </c>
      <c r="X83" s="178">
        <f t="shared" si="25"/>
        <v>43356.760000000009</v>
      </c>
      <c r="Y83" s="151"/>
      <c r="Z83" s="177" t="s">
        <v>337</v>
      </c>
      <c r="AA83" s="207"/>
      <c r="AB83" s="206">
        <v>3200</v>
      </c>
      <c r="AC83" s="206">
        <v>3200</v>
      </c>
      <c r="AD83" s="206">
        <v>3200</v>
      </c>
      <c r="AE83" s="206">
        <v>3200</v>
      </c>
      <c r="AF83" s="206">
        <v>3200</v>
      </c>
      <c r="AG83" s="206">
        <v>3200</v>
      </c>
      <c r="AH83" s="206">
        <v>3200</v>
      </c>
      <c r="AI83" s="206">
        <v>1600</v>
      </c>
      <c r="AK83" s="207"/>
      <c r="AL83" s="207"/>
      <c r="AM83" s="226">
        <f>SUM(AB83:AL83)</f>
        <v>24000</v>
      </c>
    </row>
    <row r="84" spans="1:39" s="91" customFormat="1" ht="12" x14ac:dyDescent="0.2">
      <c r="A84" s="129" t="s">
        <v>19</v>
      </c>
      <c r="B84" s="127">
        <v>8846</v>
      </c>
      <c r="C84" s="158"/>
      <c r="D84" s="126" t="s">
        <v>219</v>
      </c>
      <c r="E84" s="126" t="s">
        <v>131</v>
      </c>
      <c r="F84" s="126" t="s">
        <v>257</v>
      </c>
      <c r="G84" s="126" t="s">
        <v>258</v>
      </c>
      <c r="H84" s="132" t="s">
        <v>300</v>
      </c>
      <c r="I84" s="126" t="s">
        <v>23</v>
      </c>
      <c r="J84" s="131" t="s">
        <v>33</v>
      </c>
      <c r="K84" s="131" t="s">
        <v>68</v>
      </c>
      <c r="L84" s="131" t="s">
        <v>259</v>
      </c>
      <c r="M84" s="131" t="s">
        <v>32</v>
      </c>
      <c r="N84" s="131">
        <v>100</v>
      </c>
      <c r="O84" s="131">
        <v>100</v>
      </c>
      <c r="P84" s="131">
        <f t="shared" si="26"/>
        <v>600</v>
      </c>
      <c r="Q84" s="137">
        <f>(110335*(O84/100)/12)</f>
        <v>9194.5833333333339</v>
      </c>
      <c r="R84" s="134">
        <v>45292</v>
      </c>
      <c r="S84" s="134">
        <v>45473</v>
      </c>
      <c r="T84" s="140">
        <v>6</v>
      </c>
      <c r="U84" s="176">
        <f t="shared" si="21"/>
        <v>65097.649999999994</v>
      </c>
      <c r="V84" s="136" t="s">
        <v>338</v>
      </c>
      <c r="W84" s="176">
        <v>24000</v>
      </c>
      <c r="X84" s="178">
        <f t="shared" si="25"/>
        <v>41097.649999999994</v>
      </c>
      <c r="Y84" s="151"/>
      <c r="Z84" s="136" t="s">
        <v>338</v>
      </c>
      <c r="AA84" s="206">
        <v>4000</v>
      </c>
      <c r="AB84" s="206">
        <v>4000</v>
      </c>
      <c r="AC84" s="206">
        <v>4000</v>
      </c>
      <c r="AD84" s="206">
        <v>4000</v>
      </c>
      <c r="AE84" s="206">
        <v>4000</v>
      </c>
      <c r="AF84" s="206">
        <v>4000</v>
      </c>
      <c r="AG84" s="214"/>
      <c r="AH84" s="214"/>
      <c r="AI84" s="214"/>
      <c r="AJ84" s="214"/>
      <c r="AK84" s="214"/>
      <c r="AL84" s="214"/>
      <c r="AM84" s="89">
        <f>SUM(AA84:AL84)</f>
        <v>24000</v>
      </c>
    </row>
    <row r="85" spans="1:39" s="91" customFormat="1" ht="12" x14ac:dyDescent="0.2">
      <c r="A85" s="129" t="s">
        <v>19</v>
      </c>
      <c r="B85" s="127">
        <v>8846</v>
      </c>
      <c r="C85" s="158"/>
      <c r="D85" s="126"/>
      <c r="E85" s="126" t="s">
        <v>131</v>
      </c>
      <c r="F85" s="126" t="s">
        <v>265</v>
      </c>
      <c r="G85" s="126" t="s">
        <v>274</v>
      </c>
      <c r="H85" s="132"/>
      <c r="I85" s="126" t="s">
        <v>23</v>
      </c>
      <c r="J85" s="131" t="s">
        <v>33</v>
      </c>
      <c r="K85" s="131" t="s">
        <v>68</v>
      </c>
      <c r="L85" s="131" t="s">
        <v>266</v>
      </c>
      <c r="M85" s="131" t="s">
        <v>32</v>
      </c>
      <c r="N85" s="131">
        <v>80</v>
      </c>
      <c r="O85" s="131">
        <v>80</v>
      </c>
      <c r="P85" s="158">
        <f t="shared" si="26"/>
        <v>560</v>
      </c>
      <c r="Q85" s="137">
        <f>(109135*(O85/100)/12)</f>
        <v>7275.666666666667</v>
      </c>
      <c r="R85" s="134">
        <v>45444</v>
      </c>
      <c r="S85" s="134">
        <v>45672</v>
      </c>
      <c r="T85" s="140">
        <v>7</v>
      </c>
      <c r="U85" s="176">
        <f t="shared" si="21"/>
        <v>60097.006666666668</v>
      </c>
      <c r="V85" s="131" t="s">
        <v>371</v>
      </c>
      <c r="W85" s="176">
        <v>24000</v>
      </c>
      <c r="X85" s="178">
        <f t="shared" si="25"/>
        <v>36097.006666666668</v>
      </c>
      <c r="Y85" s="151"/>
      <c r="Z85" s="131" t="s">
        <v>371</v>
      </c>
      <c r="AA85" s="208"/>
      <c r="AB85" s="208"/>
      <c r="AC85" s="208"/>
      <c r="AD85" s="208"/>
      <c r="AE85" s="208"/>
      <c r="AF85" s="206">
        <v>3200</v>
      </c>
      <c r="AG85" s="206">
        <v>3200</v>
      </c>
      <c r="AH85" s="206">
        <v>3200</v>
      </c>
      <c r="AI85" s="206">
        <v>3200</v>
      </c>
      <c r="AJ85" s="206">
        <v>3200</v>
      </c>
      <c r="AK85" s="206">
        <v>3200</v>
      </c>
      <c r="AL85" s="206">
        <v>3200</v>
      </c>
      <c r="AM85" s="89">
        <f>SUM(AF85:AL85)</f>
        <v>22400</v>
      </c>
    </row>
    <row r="86" spans="1:39" s="91" customFormat="1" ht="12" x14ac:dyDescent="0.2">
      <c r="A86" s="129" t="s">
        <v>19</v>
      </c>
      <c r="B86" s="127">
        <v>8846</v>
      </c>
      <c r="C86" s="158"/>
      <c r="D86" s="126" t="s">
        <v>219</v>
      </c>
      <c r="E86" s="126" t="s">
        <v>131</v>
      </c>
      <c r="F86" s="126" t="s">
        <v>267</v>
      </c>
      <c r="G86" s="126" t="s">
        <v>268</v>
      </c>
      <c r="H86" s="132"/>
      <c r="I86" s="126" t="s">
        <v>23</v>
      </c>
      <c r="J86" s="131" t="s">
        <v>33</v>
      </c>
      <c r="K86" s="131" t="s">
        <v>69</v>
      </c>
      <c r="L86" s="131" t="s">
        <v>269</v>
      </c>
      <c r="M86" s="131" t="s">
        <v>34</v>
      </c>
      <c r="N86" s="131">
        <v>100</v>
      </c>
      <c r="O86" s="131">
        <v>100</v>
      </c>
      <c r="P86" s="158">
        <f t="shared" si="26"/>
        <v>600</v>
      </c>
      <c r="Q86" s="137">
        <f>(110335*(O86/100)/12)</f>
        <v>9194.5833333333339</v>
      </c>
      <c r="R86" s="134">
        <v>45323</v>
      </c>
      <c r="S86" s="134">
        <v>45504</v>
      </c>
      <c r="T86" s="140">
        <v>6</v>
      </c>
      <c r="U86" s="176">
        <f t="shared" si="21"/>
        <v>65097.649999999994</v>
      </c>
      <c r="V86" s="131" t="s">
        <v>362</v>
      </c>
      <c r="W86" s="176">
        <v>24000</v>
      </c>
      <c r="X86" s="178">
        <f t="shared" si="25"/>
        <v>41097.649999999994</v>
      </c>
      <c r="Y86" s="151"/>
      <c r="Z86" s="151"/>
      <c r="AA86" s="208"/>
      <c r="AB86" s="206">
        <v>4000</v>
      </c>
      <c r="AC86" s="206">
        <v>4000</v>
      </c>
      <c r="AD86" s="206">
        <v>4000</v>
      </c>
      <c r="AE86" s="206">
        <v>4000</v>
      </c>
      <c r="AF86" s="206">
        <v>4000</v>
      </c>
      <c r="AG86" s="206">
        <v>4000</v>
      </c>
      <c r="AH86" s="208"/>
      <c r="AI86" s="208"/>
      <c r="AJ86" s="208"/>
      <c r="AK86" s="208"/>
      <c r="AL86" s="208"/>
      <c r="AM86" s="89">
        <f>SUM(AB86:AL86)</f>
        <v>24000</v>
      </c>
    </row>
    <row r="87" spans="1:39" s="91" customFormat="1" ht="12" x14ac:dyDescent="0.2">
      <c r="A87" s="129" t="s">
        <v>19</v>
      </c>
      <c r="B87" s="127">
        <v>8846</v>
      </c>
      <c r="C87" s="158"/>
      <c r="D87" s="126" t="s">
        <v>241</v>
      </c>
      <c r="E87" s="126" t="s">
        <v>131</v>
      </c>
      <c r="F87" s="126" t="s">
        <v>272</v>
      </c>
      <c r="G87" s="126" t="s">
        <v>273</v>
      </c>
      <c r="H87" s="132"/>
      <c r="I87" s="126" t="s">
        <v>23</v>
      </c>
      <c r="J87" s="131" t="s">
        <v>33</v>
      </c>
      <c r="K87" s="131" t="s">
        <v>69</v>
      </c>
      <c r="L87" s="131" t="s">
        <v>301</v>
      </c>
      <c r="M87" s="131" t="s">
        <v>32</v>
      </c>
      <c r="N87" s="131">
        <v>80</v>
      </c>
      <c r="O87" s="131">
        <v>80</v>
      </c>
      <c r="P87" s="158">
        <f t="shared" si="26"/>
        <v>600</v>
      </c>
      <c r="Q87" s="137">
        <f>(103205*(O87/100)/12)</f>
        <v>6880.333333333333</v>
      </c>
      <c r="R87" s="134">
        <v>45413</v>
      </c>
      <c r="S87" s="134">
        <v>45641</v>
      </c>
      <c r="T87" s="140">
        <v>7.5</v>
      </c>
      <c r="U87" s="161">
        <f t="shared" si="21"/>
        <v>60890.95</v>
      </c>
      <c r="V87" s="151" t="s">
        <v>368</v>
      </c>
      <c r="W87" s="176">
        <v>24000</v>
      </c>
      <c r="X87" s="178">
        <f t="shared" si="25"/>
        <v>36890.949999999997</v>
      </c>
      <c r="Y87" s="151"/>
      <c r="Z87" s="151" t="s">
        <v>368</v>
      </c>
      <c r="AA87" s="208"/>
      <c r="AB87" s="208"/>
      <c r="AC87" s="208"/>
      <c r="AD87" s="208"/>
      <c r="AE87" s="206">
        <v>3200</v>
      </c>
      <c r="AF87" s="206">
        <v>3200</v>
      </c>
      <c r="AG87" s="206">
        <v>3200</v>
      </c>
      <c r="AH87" s="206">
        <v>3200</v>
      </c>
      <c r="AI87" s="206">
        <v>3200</v>
      </c>
      <c r="AJ87" s="206">
        <v>3200</v>
      </c>
      <c r="AK87" s="206">
        <v>3200</v>
      </c>
      <c r="AL87" s="206">
        <v>1600</v>
      </c>
      <c r="AM87" s="89">
        <f>SUM(AE87:AL87)</f>
        <v>24000</v>
      </c>
    </row>
    <row r="88" spans="1:39" s="91" customFormat="1" ht="12" x14ac:dyDescent="0.2">
      <c r="A88" s="129" t="s">
        <v>19</v>
      </c>
      <c r="B88" s="127">
        <v>8846</v>
      </c>
      <c r="C88" s="158"/>
      <c r="D88" s="126"/>
      <c r="E88" s="126" t="s">
        <v>131</v>
      </c>
      <c r="F88" s="126" t="s">
        <v>275</v>
      </c>
      <c r="G88" s="126" t="s">
        <v>276</v>
      </c>
      <c r="H88" s="132"/>
      <c r="I88" s="126" t="s">
        <v>23</v>
      </c>
      <c r="J88" s="131" t="s">
        <v>33</v>
      </c>
      <c r="K88" s="131" t="s">
        <v>69</v>
      </c>
      <c r="L88" s="131" t="s">
        <v>277</v>
      </c>
      <c r="M88" s="131" t="s">
        <v>34</v>
      </c>
      <c r="N88" s="131">
        <v>60</v>
      </c>
      <c r="O88" s="131">
        <v>60</v>
      </c>
      <c r="P88" s="158">
        <f t="shared" si="26"/>
        <v>240</v>
      </c>
      <c r="Q88" s="137">
        <f t="shared" ref="Q88:Q100" si="28">(109135*(O88/100)/12)</f>
        <v>5456.75</v>
      </c>
      <c r="R88" s="134">
        <v>45536</v>
      </c>
      <c r="S88" s="134">
        <v>45838</v>
      </c>
      <c r="T88" s="140">
        <v>4</v>
      </c>
      <c r="U88" s="161">
        <f t="shared" si="21"/>
        <v>25755.859999999997</v>
      </c>
      <c r="V88" s="131"/>
      <c r="W88" s="176">
        <v>9600</v>
      </c>
      <c r="X88" s="178">
        <f t="shared" si="25"/>
        <v>16155.859999999997</v>
      </c>
      <c r="Y88" s="151"/>
      <c r="Z88" s="151"/>
      <c r="AA88" s="208"/>
      <c r="AB88" s="208"/>
      <c r="AC88" s="208"/>
      <c r="AD88" s="208"/>
      <c r="AE88" s="208"/>
      <c r="AF88" s="208"/>
      <c r="AG88" s="208"/>
      <c r="AH88" s="208"/>
      <c r="AI88" s="206">
        <v>2400</v>
      </c>
      <c r="AJ88" s="206">
        <v>2400</v>
      </c>
      <c r="AK88" s="206">
        <v>2400</v>
      </c>
      <c r="AL88" s="206">
        <v>2400</v>
      </c>
      <c r="AM88" s="89">
        <f>SUM(AI88:AL88)</f>
        <v>9600</v>
      </c>
    </row>
    <row r="89" spans="1:39" s="91" customFormat="1" ht="12" x14ac:dyDescent="0.2">
      <c r="A89" s="129" t="s">
        <v>19</v>
      </c>
      <c r="B89" s="127">
        <v>8846</v>
      </c>
      <c r="C89" s="158"/>
      <c r="D89" s="126"/>
      <c r="E89" s="126" t="s">
        <v>131</v>
      </c>
      <c r="F89" s="126" t="s">
        <v>278</v>
      </c>
      <c r="G89" s="126"/>
      <c r="H89" s="132"/>
      <c r="I89" s="126" t="s">
        <v>23</v>
      </c>
      <c r="J89" s="131" t="s">
        <v>33</v>
      </c>
      <c r="K89" s="131" t="s">
        <v>69</v>
      </c>
      <c r="L89" s="131" t="s">
        <v>383</v>
      </c>
      <c r="M89" s="131" t="s">
        <v>34</v>
      </c>
      <c r="N89" s="131">
        <v>100</v>
      </c>
      <c r="O89" s="131">
        <v>100</v>
      </c>
      <c r="P89" s="158">
        <f t="shared" si="26"/>
        <v>600</v>
      </c>
      <c r="Q89" s="137">
        <f t="shared" si="28"/>
        <v>9094.5833333333339</v>
      </c>
      <c r="R89" s="134">
        <v>45474</v>
      </c>
      <c r="S89" s="134">
        <v>45657</v>
      </c>
      <c r="T89" s="140">
        <v>6</v>
      </c>
      <c r="U89" s="161">
        <f t="shared" si="21"/>
        <v>64389.649999999994</v>
      </c>
      <c r="V89" s="131"/>
      <c r="W89" s="176">
        <v>24000</v>
      </c>
      <c r="X89" s="178">
        <f t="shared" si="25"/>
        <v>40389.649999999994</v>
      </c>
      <c r="Y89" s="151"/>
      <c r="Z89" s="151"/>
      <c r="AA89" s="208"/>
      <c r="AB89" s="208"/>
      <c r="AC89" s="208"/>
      <c r="AD89" s="208"/>
      <c r="AE89" s="208"/>
      <c r="AF89" s="208"/>
      <c r="AG89" s="206">
        <v>4000</v>
      </c>
      <c r="AH89" s="206">
        <v>4000</v>
      </c>
      <c r="AI89" s="206">
        <v>4000</v>
      </c>
      <c r="AJ89" s="206">
        <v>4000</v>
      </c>
      <c r="AK89" s="206">
        <v>4000</v>
      </c>
      <c r="AL89" s="206">
        <v>4000</v>
      </c>
      <c r="AM89" s="89">
        <f>SUM(AG89:AL89)</f>
        <v>24000</v>
      </c>
    </row>
    <row r="90" spans="1:39" s="91" customFormat="1" ht="12" x14ac:dyDescent="0.2">
      <c r="A90" s="129" t="s">
        <v>19</v>
      </c>
      <c r="B90" s="127">
        <v>8846</v>
      </c>
      <c r="C90" s="158"/>
      <c r="D90" s="126"/>
      <c r="E90" s="126" t="s">
        <v>131</v>
      </c>
      <c r="F90" s="126" t="s">
        <v>279</v>
      </c>
      <c r="G90" s="126" t="s">
        <v>280</v>
      </c>
      <c r="H90" s="132"/>
      <c r="I90" s="126" t="s">
        <v>23</v>
      </c>
      <c r="J90" s="131" t="s">
        <v>33</v>
      </c>
      <c r="K90" s="131" t="s">
        <v>68</v>
      </c>
      <c r="L90" s="131" t="s">
        <v>281</v>
      </c>
      <c r="M90" s="131" t="s">
        <v>32</v>
      </c>
      <c r="N90" s="131"/>
      <c r="O90" s="131"/>
      <c r="P90" s="158">
        <f t="shared" si="26"/>
        <v>0</v>
      </c>
      <c r="Q90" s="137">
        <f t="shared" si="28"/>
        <v>0</v>
      </c>
      <c r="R90" s="134">
        <v>46054</v>
      </c>
      <c r="S90" s="134"/>
      <c r="T90" s="140"/>
      <c r="U90" s="161">
        <f t="shared" si="21"/>
        <v>0</v>
      </c>
      <c r="V90" s="131"/>
      <c r="W90" s="176"/>
      <c r="X90" s="178">
        <f t="shared" si="25"/>
        <v>0</v>
      </c>
      <c r="Y90" s="151"/>
      <c r="Z90" s="151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88"/>
    </row>
    <row r="91" spans="1:39" s="91" customFormat="1" ht="12" x14ac:dyDescent="0.2">
      <c r="A91" s="129" t="s">
        <v>19</v>
      </c>
      <c r="B91" s="127">
        <v>8846</v>
      </c>
      <c r="C91" s="158"/>
      <c r="D91" s="126"/>
      <c r="E91" s="126" t="s">
        <v>131</v>
      </c>
      <c r="F91" s="126" t="s">
        <v>282</v>
      </c>
      <c r="G91" s="126" t="s">
        <v>327</v>
      </c>
      <c r="H91" s="132"/>
      <c r="I91" s="126" t="s">
        <v>23</v>
      </c>
      <c r="J91" s="131" t="s">
        <v>33</v>
      </c>
      <c r="K91" s="131" t="s">
        <v>68</v>
      </c>
      <c r="L91" s="131" t="s">
        <v>283</v>
      </c>
      <c r="M91" s="131" t="s">
        <v>32</v>
      </c>
      <c r="N91" s="131">
        <v>100</v>
      </c>
      <c r="O91" s="131">
        <v>100</v>
      </c>
      <c r="P91" s="158">
        <f t="shared" si="26"/>
        <v>100</v>
      </c>
      <c r="Q91" s="137">
        <f t="shared" si="28"/>
        <v>9094.5833333333339</v>
      </c>
      <c r="R91" s="134">
        <v>45413</v>
      </c>
      <c r="S91" s="134">
        <v>45443</v>
      </c>
      <c r="T91" s="140">
        <v>1</v>
      </c>
      <c r="U91" s="161">
        <f t="shared" si="21"/>
        <v>10731.608333333334</v>
      </c>
      <c r="V91" s="151" t="s">
        <v>369</v>
      </c>
      <c r="W91" s="176">
        <v>4000</v>
      </c>
      <c r="X91" s="178">
        <f t="shared" si="25"/>
        <v>6731.6083333333336</v>
      </c>
      <c r="Y91" s="151"/>
      <c r="Z91" s="151" t="s">
        <v>369</v>
      </c>
      <c r="AA91" s="208"/>
      <c r="AB91" s="208"/>
      <c r="AC91" s="208"/>
      <c r="AD91" s="208"/>
      <c r="AE91" s="206">
        <v>4000</v>
      </c>
      <c r="AF91" s="206"/>
      <c r="AG91" s="206"/>
      <c r="AH91" s="206"/>
      <c r="AI91" s="206"/>
      <c r="AJ91" s="206"/>
      <c r="AK91" s="206"/>
      <c r="AL91" s="206"/>
      <c r="AM91" s="89">
        <f>SUM(AE91:AL91)</f>
        <v>4000</v>
      </c>
    </row>
    <row r="92" spans="1:39" s="91" customFormat="1" ht="12" x14ac:dyDescent="0.2">
      <c r="A92" s="129" t="s">
        <v>19</v>
      </c>
      <c r="B92" s="127">
        <v>8846</v>
      </c>
      <c r="C92" s="158"/>
      <c r="D92" s="126"/>
      <c r="E92" s="126" t="s">
        <v>131</v>
      </c>
      <c r="F92" s="126" t="s">
        <v>282</v>
      </c>
      <c r="G92" s="126" t="s">
        <v>327</v>
      </c>
      <c r="H92" s="132"/>
      <c r="I92" s="126" t="s">
        <v>23</v>
      </c>
      <c r="J92" s="131" t="s">
        <v>33</v>
      </c>
      <c r="K92" s="131" t="s">
        <v>68</v>
      </c>
      <c r="L92" s="131" t="s">
        <v>283</v>
      </c>
      <c r="M92" s="131" t="s">
        <v>32</v>
      </c>
      <c r="N92" s="131">
        <v>50</v>
      </c>
      <c r="O92" s="131">
        <v>50</v>
      </c>
      <c r="P92" s="158">
        <f t="shared" si="26"/>
        <v>350</v>
      </c>
      <c r="Q92" s="137">
        <f t="shared" si="28"/>
        <v>4547.291666666667</v>
      </c>
      <c r="R92" s="134">
        <v>45444</v>
      </c>
      <c r="S92" s="134">
        <v>45747</v>
      </c>
      <c r="T92" s="140">
        <v>7</v>
      </c>
      <c r="U92" s="161">
        <f t="shared" si="21"/>
        <v>37560.629166666666</v>
      </c>
      <c r="V92" s="151" t="s">
        <v>369</v>
      </c>
      <c r="W92" s="176">
        <v>14000</v>
      </c>
      <c r="X92" s="178">
        <f t="shared" si="25"/>
        <v>23560.629166666666</v>
      </c>
      <c r="Y92" s="151"/>
      <c r="Z92" s="151" t="s">
        <v>369</v>
      </c>
      <c r="AA92" s="208"/>
      <c r="AB92" s="208"/>
      <c r="AC92" s="208"/>
      <c r="AD92" s="208"/>
      <c r="AE92" s="206"/>
      <c r="AF92" s="206">
        <v>2000</v>
      </c>
      <c r="AG92" s="206">
        <v>2000</v>
      </c>
      <c r="AH92" s="206">
        <v>2000</v>
      </c>
      <c r="AI92" s="206">
        <v>2000</v>
      </c>
      <c r="AJ92" s="206">
        <v>2000</v>
      </c>
      <c r="AK92" s="206">
        <v>2000</v>
      </c>
      <c r="AL92" s="206">
        <v>2000</v>
      </c>
      <c r="AM92" s="89">
        <f>SUM(AF92:AL92)</f>
        <v>14000</v>
      </c>
    </row>
    <row r="93" spans="1:39" s="91" customFormat="1" ht="12" x14ac:dyDescent="0.2">
      <c r="A93" s="129" t="s">
        <v>19</v>
      </c>
      <c r="B93" s="127">
        <v>8846</v>
      </c>
      <c r="C93" s="158"/>
      <c r="D93" s="126" t="s">
        <v>219</v>
      </c>
      <c r="E93" s="126" t="s">
        <v>131</v>
      </c>
      <c r="F93" s="126" t="s">
        <v>284</v>
      </c>
      <c r="G93" s="126" t="s">
        <v>319</v>
      </c>
      <c r="H93" s="132"/>
      <c r="I93" s="126" t="s">
        <v>23</v>
      </c>
      <c r="J93" s="131" t="s">
        <v>33</v>
      </c>
      <c r="K93" s="131" t="s">
        <v>68</v>
      </c>
      <c r="L93" s="131" t="s">
        <v>320</v>
      </c>
      <c r="M93" s="131" t="s">
        <v>32</v>
      </c>
      <c r="N93" s="131">
        <v>80</v>
      </c>
      <c r="O93" s="131">
        <v>80</v>
      </c>
      <c r="P93" s="158">
        <f t="shared" si="26"/>
        <v>600</v>
      </c>
      <c r="Q93" s="137">
        <f>(110335*(O93/100)/12)</f>
        <v>7355.666666666667</v>
      </c>
      <c r="R93" s="134">
        <v>45334</v>
      </c>
      <c r="S93" s="134">
        <v>45565</v>
      </c>
      <c r="T93" s="140">
        <v>7.5</v>
      </c>
      <c r="U93" s="161">
        <f t="shared" si="21"/>
        <v>65097.649999999994</v>
      </c>
      <c r="V93" s="131" t="s">
        <v>363</v>
      </c>
      <c r="W93" s="176">
        <v>24000</v>
      </c>
      <c r="X93" s="178">
        <f t="shared" si="25"/>
        <v>41097.649999999994</v>
      </c>
      <c r="Y93" s="151"/>
      <c r="Z93" s="131" t="s">
        <v>363</v>
      </c>
      <c r="AA93" s="208"/>
      <c r="AB93" s="208"/>
      <c r="AC93" s="206">
        <v>3200</v>
      </c>
      <c r="AD93" s="206">
        <v>3200</v>
      </c>
      <c r="AE93" s="206">
        <v>3200</v>
      </c>
      <c r="AF93" s="206">
        <v>3200</v>
      </c>
      <c r="AG93" s="206">
        <v>3200</v>
      </c>
      <c r="AH93" s="206">
        <v>3200</v>
      </c>
      <c r="AI93" s="206">
        <v>3200</v>
      </c>
      <c r="AJ93" s="206">
        <v>1600</v>
      </c>
      <c r="AK93" s="208"/>
      <c r="AL93" s="208"/>
      <c r="AM93" s="89">
        <f>SUM(AC93:AL93)</f>
        <v>24000</v>
      </c>
    </row>
    <row r="94" spans="1:39" s="91" customFormat="1" ht="12" x14ac:dyDescent="0.2">
      <c r="A94" s="129" t="s">
        <v>19</v>
      </c>
      <c r="B94" s="127">
        <v>8846</v>
      </c>
      <c r="C94" s="158"/>
      <c r="D94" s="126"/>
      <c r="E94" s="126" t="s">
        <v>131</v>
      </c>
      <c r="F94" s="126" t="s">
        <v>302</v>
      </c>
      <c r="G94" s="126" t="s">
        <v>303</v>
      </c>
      <c r="H94" s="132"/>
      <c r="I94" s="126" t="s">
        <v>23</v>
      </c>
      <c r="J94" s="131" t="s">
        <v>33</v>
      </c>
      <c r="K94" s="131" t="s">
        <v>68</v>
      </c>
      <c r="L94" s="131" t="s">
        <v>304</v>
      </c>
      <c r="M94" s="131" t="s">
        <v>32</v>
      </c>
      <c r="N94" s="131">
        <v>50</v>
      </c>
      <c r="O94" s="131">
        <v>50</v>
      </c>
      <c r="P94" s="158">
        <f>T94*N94</f>
        <v>350</v>
      </c>
      <c r="Q94" s="137">
        <f t="shared" si="28"/>
        <v>4547.291666666667</v>
      </c>
      <c r="R94" s="134">
        <v>45444</v>
      </c>
      <c r="S94" s="134">
        <v>45808</v>
      </c>
      <c r="T94" s="140">
        <v>7</v>
      </c>
      <c r="U94" s="161">
        <f t="shared" si="21"/>
        <v>37560.629166666666</v>
      </c>
      <c r="V94" s="131" t="s">
        <v>370</v>
      </c>
      <c r="W94" s="176">
        <v>14000</v>
      </c>
      <c r="X94" s="163">
        <f t="shared" si="25"/>
        <v>23560.629166666666</v>
      </c>
      <c r="Y94" s="151"/>
      <c r="Z94" s="151" t="s">
        <v>370</v>
      </c>
      <c r="AA94" s="208"/>
      <c r="AB94" s="208"/>
      <c r="AC94" s="208"/>
      <c r="AD94" s="208"/>
      <c r="AE94" s="208"/>
      <c r="AF94" s="206">
        <v>2000</v>
      </c>
      <c r="AG94" s="206">
        <v>2000</v>
      </c>
      <c r="AH94" s="206">
        <v>2000</v>
      </c>
      <c r="AI94" s="206">
        <v>2000</v>
      </c>
      <c r="AJ94" s="206">
        <v>2000</v>
      </c>
      <c r="AK94" s="206">
        <v>2000</v>
      </c>
      <c r="AL94" s="206">
        <v>2000</v>
      </c>
      <c r="AM94" s="89">
        <f>SUM(AF94:AL94)</f>
        <v>14000</v>
      </c>
    </row>
    <row r="95" spans="1:39" s="91" customFormat="1" ht="12" x14ac:dyDescent="0.2">
      <c r="A95" s="129" t="s">
        <v>19</v>
      </c>
      <c r="B95" s="127">
        <v>8846</v>
      </c>
      <c r="C95" s="158"/>
      <c r="D95" s="126"/>
      <c r="E95" s="126" t="s">
        <v>131</v>
      </c>
      <c r="F95" s="126" t="s">
        <v>287</v>
      </c>
      <c r="G95" s="126" t="s">
        <v>287</v>
      </c>
      <c r="H95" s="132"/>
      <c r="I95" s="126" t="s">
        <v>23</v>
      </c>
      <c r="J95" s="131" t="s">
        <v>33</v>
      </c>
      <c r="K95" s="131" t="s">
        <v>68</v>
      </c>
      <c r="L95" s="131" t="s">
        <v>285</v>
      </c>
      <c r="M95" s="131" t="s">
        <v>32</v>
      </c>
      <c r="N95" s="131">
        <v>100</v>
      </c>
      <c r="O95" s="131">
        <v>100</v>
      </c>
      <c r="P95" s="158">
        <f t="shared" si="26"/>
        <v>600</v>
      </c>
      <c r="Q95" s="137">
        <f t="shared" si="28"/>
        <v>9094.5833333333339</v>
      </c>
      <c r="R95" s="134">
        <v>45444</v>
      </c>
      <c r="S95" s="134" t="s">
        <v>286</v>
      </c>
      <c r="T95" s="140">
        <v>6</v>
      </c>
      <c r="U95" s="161">
        <f t="shared" si="21"/>
        <v>64389.649999999994</v>
      </c>
      <c r="V95" s="131"/>
      <c r="W95" s="176">
        <v>24000</v>
      </c>
      <c r="X95" s="163">
        <f t="shared" si="25"/>
        <v>40389.649999999994</v>
      </c>
      <c r="Y95" s="151"/>
      <c r="Z95" s="151"/>
      <c r="AA95" s="208"/>
      <c r="AB95" s="208"/>
      <c r="AC95" s="208"/>
      <c r="AD95" s="208"/>
      <c r="AE95" s="208"/>
      <c r="AF95" s="206">
        <v>4000</v>
      </c>
      <c r="AG95" s="206">
        <v>4000</v>
      </c>
      <c r="AH95" s="206">
        <v>4000</v>
      </c>
      <c r="AI95" s="206">
        <v>4000</v>
      </c>
      <c r="AJ95" s="206">
        <v>4000</v>
      </c>
      <c r="AK95" s="206">
        <v>4000</v>
      </c>
      <c r="AL95" s="208"/>
      <c r="AM95" s="88"/>
    </row>
    <row r="96" spans="1:39" s="91" customFormat="1" ht="12" x14ac:dyDescent="0.2">
      <c r="A96" s="129" t="s">
        <v>19</v>
      </c>
      <c r="B96" s="127">
        <v>8846</v>
      </c>
      <c r="C96" s="158"/>
      <c r="D96" s="126"/>
      <c r="E96" s="126" t="s">
        <v>131</v>
      </c>
      <c r="F96" s="126" t="s">
        <v>287</v>
      </c>
      <c r="G96" s="126" t="s">
        <v>287</v>
      </c>
      <c r="H96" s="132"/>
      <c r="I96" s="126" t="s">
        <v>23</v>
      </c>
      <c r="J96" s="131" t="s">
        <v>33</v>
      </c>
      <c r="K96" s="131" t="s">
        <v>68</v>
      </c>
      <c r="L96" s="131" t="s">
        <v>285</v>
      </c>
      <c r="M96" s="131" t="s">
        <v>32</v>
      </c>
      <c r="N96" s="131">
        <v>100</v>
      </c>
      <c r="O96" s="131">
        <v>100</v>
      </c>
      <c r="P96" s="158">
        <f t="shared" si="26"/>
        <v>100</v>
      </c>
      <c r="Q96" s="137">
        <f t="shared" si="28"/>
        <v>9094.5833333333339</v>
      </c>
      <c r="R96" s="134">
        <v>45627</v>
      </c>
      <c r="S96" s="134">
        <v>45807</v>
      </c>
      <c r="T96" s="140">
        <v>1</v>
      </c>
      <c r="U96" s="161">
        <f t="shared" si="21"/>
        <v>10731.608333333334</v>
      </c>
      <c r="V96" s="131"/>
      <c r="W96" s="176">
        <v>4000</v>
      </c>
      <c r="X96" s="163">
        <f t="shared" si="25"/>
        <v>6731.6083333333336</v>
      </c>
      <c r="Y96" s="151"/>
      <c r="Z96" s="151"/>
      <c r="AA96" s="208"/>
      <c r="AB96" s="208"/>
      <c r="AC96" s="208"/>
      <c r="AD96" s="208"/>
      <c r="AE96" s="208"/>
      <c r="AF96" s="208"/>
      <c r="AG96" s="208"/>
      <c r="AH96" s="208"/>
      <c r="AI96" s="208"/>
      <c r="AJ96" s="208"/>
      <c r="AK96" s="208"/>
      <c r="AL96" s="206">
        <v>4000</v>
      </c>
      <c r="AM96" s="88"/>
    </row>
    <row r="97" spans="1:39" s="91" customFormat="1" ht="12" x14ac:dyDescent="0.2">
      <c r="A97" s="129" t="s">
        <v>19</v>
      </c>
      <c r="B97" s="127">
        <v>8846</v>
      </c>
      <c r="C97" s="158"/>
      <c r="D97" s="126"/>
      <c r="E97" s="126" t="s">
        <v>131</v>
      </c>
      <c r="F97" s="126" t="s">
        <v>308</v>
      </c>
      <c r="G97" s="126" t="s">
        <v>309</v>
      </c>
      <c r="H97" s="132"/>
      <c r="I97" s="126" t="s">
        <v>23</v>
      </c>
      <c r="J97" s="131" t="s">
        <v>33</v>
      </c>
      <c r="K97" s="131" t="s">
        <v>68</v>
      </c>
      <c r="L97" s="131" t="s">
        <v>310</v>
      </c>
      <c r="M97" s="131" t="s">
        <v>32</v>
      </c>
      <c r="N97" s="131">
        <v>100</v>
      </c>
      <c r="O97" s="131">
        <v>100</v>
      </c>
      <c r="P97" s="158">
        <f t="shared" si="26"/>
        <v>600</v>
      </c>
      <c r="Q97" s="137">
        <f t="shared" si="28"/>
        <v>9094.5833333333339</v>
      </c>
      <c r="R97" s="134">
        <v>45474</v>
      </c>
      <c r="S97" s="134">
        <v>45657</v>
      </c>
      <c r="T97" s="140">
        <v>6</v>
      </c>
      <c r="U97" s="161">
        <f t="shared" si="21"/>
        <v>64389.649999999994</v>
      </c>
      <c r="V97" s="131" t="s">
        <v>372</v>
      </c>
      <c r="W97" s="176">
        <v>24000</v>
      </c>
      <c r="X97" s="163">
        <f t="shared" si="25"/>
        <v>40389.649999999994</v>
      </c>
      <c r="Y97" s="151"/>
      <c r="Z97" s="151" t="s">
        <v>372</v>
      </c>
      <c r="AA97" s="208"/>
      <c r="AB97" s="208"/>
      <c r="AC97" s="208"/>
      <c r="AD97" s="208"/>
      <c r="AE97" s="208"/>
      <c r="AF97" s="208"/>
      <c r="AG97" s="206">
        <v>4000</v>
      </c>
      <c r="AH97" s="206">
        <v>4000</v>
      </c>
      <c r="AI97" s="206">
        <v>4000</v>
      </c>
      <c r="AJ97" s="206">
        <v>4000</v>
      </c>
      <c r="AK97" s="206">
        <v>4000</v>
      </c>
      <c r="AL97" s="206">
        <v>4000</v>
      </c>
      <c r="AM97" s="89">
        <f>SUM(AG97:AL97)</f>
        <v>24000</v>
      </c>
    </row>
    <row r="98" spans="1:39" s="91" customFormat="1" ht="12" x14ac:dyDescent="0.2">
      <c r="A98" s="11" t="s">
        <v>19</v>
      </c>
      <c r="B98" s="15">
        <v>8846</v>
      </c>
      <c r="C98" s="90"/>
      <c r="D98" s="8"/>
      <c r="E98" s="8" t="s">
        <v>131</v>
      </c>
      <c r="F98" s="8" t="s">
        <v>312</v>
      </c>
      <c r="G98" s="8"/>
      <c r="H98" s="16"/>
      <c r="I98" s="8" t="s">
        <v>23</v>
      </c>
      <c r="J98" s="13" t="s">
        <v>33</v>
      </c>
      <c r="K98" s="13" t="s">
        <v>68</v>
      </c>
      <c r="L98" s="13" t="s">
        <v>311</v>
      </c>
      <c r="M98" s="13" t="s">
        <v>32</v>
      </c>
      <c r="N98" s="13">
        <v>100</v>
      </c>
      <c r="O98" s="13">
        <v>100</v>
      </c>
      <c r="P98" s="158">
        <f t="shared" si="26"/>
        <v>600</v>
      </c>
      <c r="Q98" s="137">
        <f t="shared" si="28"/>
        <v>9094.5833333333339</v>
      </c>
      <c r="R98" s="9">
        <v>45474</v>
      </c>
      <c r="S98" s="9">
        <v>45657</v>
      </c>
      <c r="T98" s="22">
        <v>6</v>
      </c>
      <c r="U98" s="68">
        <f t="shared" ref="U98:U103" si="29">(Q98*T98)*1.18</f>
        <v>64389.649999999994</v>
      </c>
      <c r="V98" s="13"/>
      <c r="W98" s="94">
        <v>24000</v>
      </c>
      <c r="X98" s="221">
        <f t="shared" ref="X98:X108" si="30">U98-W98</f>
        <v>40389.649999999994</v>
      </c>
      <c r="AA98" s="215"/>
      <c r="AB98" s="215"/>
      <c r="AC98" s="215"/>
      <c r="AD98" s="215"/>
      <c r="AE98" s="215"/>
      <c r="AF98" s="215"/>
      <c r="AG98" s="206">
        <v>4000</v>
      </c>
      <c r="AH98" s="206">
        <v>4000</v>
      </c>
      <c r="AI98" s="206">
        <v>4000</v>
      </c>
      <c r="AJ98" s="206">
        <v>4000</v>
      </c>
      <c r="AK98" s="206">
        <v>4000</v>
      </c>
      <c r="AL98" s="206">
        <v>4000</v>
      </c>
      <c r="AM98" s="89">
        <f>SUM(AG98:AL98)</f>
        <v>24000</v>
      </c>
    </row>
    <row r="99" spans="1:39" s="91" customFormat="1" ht="12" x14ac:dyDescent="0.2">
      <c r="A99" s="11" t="s">
        <v>19</v>
      </c>
      <c r="B99" s="15">
        <v>8846</v>
      </c>
      <c r="C99" s="90"/>
      <c r="D99" s="8"/>
      <c r="E99" s="8" t="s">
        <v>131</v>
      </c>
      <c r="F99" s="8" t="s">
        <v>313</v>
      </c>
      <c r="G99" s="8" t="s">
        <v>314</v>
      </c>
      <c r="H99" s="16"/>
      <c r="I99" s="8" t="s">
        <v>23</v>
      </c>
      <c r="J99" s="13" t="s">
        <v>33</v>
      </c>
      <c r="K99" s="13" t="s">
        <v>68</v>
      </c>
      <c r="L99" s="13" t="s">
        <v>315</v>
      </c>
      <c r="M99" s="13" t="s">
        <v>32</v>
      </c>
      <c r="N99" s="13">
        <v>50</v>
      </c>
      <c r="O99" s="13">
        <v>50</v>
      </c>
      <c r="P99" s="158">
        <f t="shared" si="26"/>
        <v>150</v>
      </c>
      <c r="Q99" s="137">
        <f t="shared" si="28"/>
        <v>4547.291666666667</v>
      </c>
      <c r="R99" s="9">
        <v>45566</v>
      </c>
      <c r="S99" s="9">
        <v>45930</v>
      </c>
      <c r="T99" s="22">
        <v>3</v>
      </c>
      <c r="U99" s="68">
        <f t="shared" si="29"/>
        <v>16097.412499999999</v>
      </c>
      <c r="V99" s="13" t="s">
        <v>376</v>
      </c>
      <c r="W99" s="94">
        <v>6000</v>
      </c>
      <c r="X99" s="221">
        <f t="shared" si="30"/>
        <v>10097.412499999999</v>
      </c>
      <c r="Z99" s="91" t="s">
        <v>376</v>
      </c>
      <c r="AA99" s="215"/>
      <c r="AB99" s="215"/>
      <c r="AC99" s="215"/>
      <c r="AD99" s="215"/>
      <c r="AE99" s="215"/>
      <c r="AF99" s="215"/>
      <c r="AG99" s="215"/>
      <c r="AH99" s="215"/>
      <c r="AI99" s="215"/>
      <c r="AJ99" s="206">
        <v>2000</v>
      </c>
      <c r="AK99" s="206">
        <v>2000</v>
      </c>
      <c r="AL99" s="206">
        <v>2000</v>
      </c>
      <c r="AM99" s="89">
        <f>SUM(AJ99:AL99)</f>
        <v>6000</v>
      </c>
    </row>
    <row r="100" spans="1:39" s="91" customFormat="1" x14ac:dyDescent="0.2">
      <c r="A100" s="11" t="s">
        <v>19</v>
      </c>
      <c r="B100" s="15">
        <v>8846</v>
      </c>
      <c r="C100" s="90"/>
      <c r="D100" s="8"/>
      <c r="E100" s="8" t="s">
        <v>131</v>
      </c>
      <c r="F100" s="8" t="s">
        <v>316</v>
      </c>
      <c r="G100" s="8" t="s">
        <v>317</v>
      </c>
      <c r="H100" s="16"/>
      <c r="I100" s="8" t="s">
        <v>23</v>
      </c>
      <c r="J100" s="13" t="s">
        <v>33</v>
      </c>
      <c r="K100" s="13" t="s">
        <v>68</v>
      </c>
      <c r="L100" s="13" t="s">
        <v>318</v>
      </c>
      <c r="M100" s="13" t="s">
        <v>32</v>
      </c>
      <c r="N100" s="13">
        <v>80</v>
      </c>
      <c r="O100" s="13">
        <v>80</v>
      </c>
      <c r="P100" s="158">
        <f t="shared" si="26"/>
        <v>160</v>
      </c>
      <c r="Q100" s="137">
        <f t="shared" si="28"/>
        <v>7275.666666666667</v>
      </c>
      <c r="R100" s="9">
        <v>45597</v>
      </c>
      <c r="S100" s="9">
        <v>45823</v>
      </c>
      <c r="T100" s="22">
        <v>2</v>
      </c>
      <c r="U100" s="68">
        <f t="shared" si="29"/>
        <v>17170.573333333334</v>
      </c>
      <c r="V100" s="39" t="s">
        <v>378</v>
      </c>
      <c r="W100" s="94">
        <v>6400</v>
      </c>
      <c r="X100" s="221">
        <f t="shared" si="30"/>
        <v>10770.573333333334</v>
      </c>
      <c r="Z100" s="39" t="s">
        <v>378</v>
      </c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206">
        <v>3200</v>
      </c>
      <c r="AL100" s="206">
        <v>3200</v>
      </c>
      <c r="AM100" s="89">
        <f>SUM(AK100:AL100)</f>
        <v>6400</v>
      </c>
    </row>
    <row r="101" spans="1:39" s="91" customFormat="1" ht="12" x14ac:dyDescent="0.2">
      <c r="A101" s="11" t="s">
        <v>19</v>
      </c>
      <c r="B101" s="15">
        <v>8846</v>
      </c>
      <c r="C101" s="90"/>
      <c r="D101" s="8" t="s">
        <v>240</v>
      </c>
      <c r="E101" s="8" t="s">
        <v>131</v>
      </c>
      <c r="F101" s="8" t="s">
        <v>329</v>
      </c>
      <c r="G101" s="8" t="s">
        <v>330</v>
      </c>
      <c r="H101" s="16"/>
      <c r="I101" s="8" t="s">
        <v>23</v>
      </c>
      <c r="J101" s="13" t="s">
        <v>33</v>
      </c>
      <c r="K101" s="13" t="s">
        <v>68</v>
      </c>
      <c r="L101" s="13" t="s">
        <v>331</v>
      </c>
      <c r="M101" s="13" t="s">
        <v>32</v>
      </c>
      <c r="N101" s="13">
        <v>60</v>
      </c>
      <c r="O101" s="13">
        <v>60</v>
      </c>
      <c r="P101" s="90">
        <f t="shared" si="26"/>
        <v>600</v>
      </c>
      <c r="Q101" s="137">
        <f>(112250*(O101/100)/12)</f>
        <v>5612.5</v>
      </c>
      <c r="R101" s="9">
        <v>45352</v>
      </c>
      <c r="S101" s="9">
        <v>45657</v>
      </c>
      <c r="T101" s="22">
        <v>10</v>
      </c>
      <c r="U101" s="68">
        <f t="shared" si="29"/>
        <v>66227.5</v>
      </c>
      <c r="V101" s="91" t="s">
        <v>367</v>
      </c>
      <c r="W101" s="94">
        <v>24000</v>
      </c>
      <c r="X101" s="221">
        <f t="shared" si="30"/>
        <v>42227.5</v>
      </c>
      <c r="Z101" s="91" t="s">
        <v>367</v>
      </c>
      <c r="AA101" s="88"/>
      <c r="AB101" s="88"/>
      <c r="AC101" s="206">
        <v>2400</v>
      </c>
      <c r="AD101" s="206">
        <v>2400</v>
      </c>
      <c r="AE101" s="206">
        <v>2400</v>
      </c>
      <c r="AF101" s="206">
        <v>2400</v>
      </c>
      <c r="AG101" s="206">
        <v>2400</v>
      </c>
      <c r="AH101" s="206">
        <v>2400</v>
      </c>
      <c r="AI101" s="206">
        <v>2400</v>
      </c>
      <c r="AJ101" s="206">
        <v>2400</v>
      </c>
      <c r="AK101" s="206">
        <v>2400</v>
      </c>
      <c r="AL101" s="206">
        <v>2400</v>
      </c>
      <c r="AM101" s="89">
        <f>SUM(AC101:AL101)</f>
        <v>24000</v>
      </c>
    </row>
    <row r="102" spans="1:39" s="91" customFormat="1" ht="12" x14ac:dyDescent="0.2">
      <c r="A102" s="11" t="s">
        <v>19</v>
      </c>
      <c r="B102" s="15">
        <v>8846</v>
      </c>
      <c r="C102" s="90"/>
      <c r="D102" s="8"/>
      <c r="E102" s="8" t="s">
        <v>131</v>
      </c>
      <c r="F102" s="8" t="s">
        <v>349</v>
      </c>
      <c r="G102" s="8" t="s">
        <v>350</v>
      </c>
      <c r="H102" s="16"/>
      <c r="I102" s="8" t="s">
        <v>23</v>
      </c>
      <c r="J102" s="13" t="s">
        <v>33</v>
      </c>
      <c r="K102" s="13" t="s">
        <v>68</v>
      </c>
      <c r="L102" s="13" t="s">
        <v>351</v>
      </c>
      <c r="M102" s="13" t="s">
        <v>32</v>
      </c>
      <c r="N102" s="13">
        <v>60</v>
      </c>
      <c r="O102" s="13">
        <v>60</v>
      </c>
      <c r="P102" s="90">
        <f t="shared" si="26"/>
        <v>480</v>
      </c>
      <c r="Q102" s="137">
        <f>(112250*(O102/100)/12)</f>
        <v>5612.5</v>
      </c>
      <c r="R102" s="9">
        <v>45413</v>
      </c>
      <c r="S102" s="9">
        <v>45716</v>
      </c>
      <c r="T102" s="22">
        <v>8</v>
      </c>
      <c r="U102" s="68">
        <f t="shared" si="29"/>
        <v>52982</v>
      </c>
      <c r="V102" s="13"/>
      <c r="W102" s="94">
        <v>24000</v>
      </c>
      <c r="X102" s="221">
        <f t="shared" si="30"/>
        <v>28982</v>
      </c>
      <c r="AA102" s="89"/>
      <c r="AB102" s="88"/>
      <c r="AC102" s="88"/>
      <c r="AD102" s="88"/>
      <c r="AE102" s="206">
        <v>2400</v>
      </c>
      <c r="AF102" s="206">
        <v>2400</v>
      </c>
      <c r="AG102" s="206">
        <v>2400</v>
      </c>
      <c r="AH102" s="206">
        <v>2400</v>
      </c>
      <c r="AI102" s="206">
        <v>2400</v>
      </c>
      <c r="AJ102" s="206">
        <v>2400</v>
      </c>
      <c r="AK102" s="206">
        <v>2400</v>
      </c>
      <c r="AL102" s="206">
        <v>2400</v>
      </c>
      <c r="AM102" s="88"/>
    </row>
    <row r="103" spans="1:39" s="91" customFormat="1" ht="12" x14ac:dyDescent="0.2">
      <c r="A103" s="11" t="s">
        <v>19</v>
      </c>
      <c r="B103" s="15">
        <v>8846</v>
      </c>
      <c r="C103" s="90"/>
      <c r="D103" s="8" t="s">
        <v>366</v>
      </c>
      <c r="E103" s="8" t="s">
        <v>131</v>
      </c>
      <c r="F103" s="8" t="s">
        <v>353</v>
      </c>
      <c r="G103" s="8" t="s">
        <v>354</v>
      </c>
      <c r="H103" s="175">
        <v>337212</v>
      </c>
      <c r="I103" s="8" t="s">
        <v>23</v>
      </c>
      <c r="J103" s="13" t="s">
        <v>33</v>
      </c>
      <c r="K103" s="13" t="s">
        <v>68</v>
      </c>
      <c r="L103" s="13" t="s">
        <v>352</v>
      </c>
      <c r="M103" s="13" t="s">
        <v>32</v>
      </c>
      <c r="N103" s="13">
        <v>80</v>
      </c>
      <c r="O103" s="13">
        <v>80</v>
      </c>
      <c r="P103" s="90">
        <f t="shared" si="26"/>
        <v>600</v>
      </c>
      <c r="Q103" s="137">
        <f>(117997*(O103/100)/12)</f>
        <v>7866.4666666666672</v>
      </c>
      <c r="R103" s="9">
        <v>45383</v>
      </c>
      <c r="S103" s="9">
        <v>45611</v>
      </c>
      <c r="T103" s="22">
        <v>7.5</v>
      </c>
      <c r="U103" s="68">
        <f t="shared" si="29"/>
        <v>69618.23</v>
      </c>
      <c r="V103" s="91" t="s">
        <v>365</v>
      </c>
      <c r="W103" s="94">
        <v>24000</v>
      </c>
      <c r="X103" s="10">
        <f t="shared" si="30"/>
        <v>45618.229999999996</v>
      </c>
      <c r="Z103" s="91" t="s">
        <v>365</v>
      </c>
      <c r="AA103" s="89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9"/>
    </row>
    <row r="104" spans="1:39" s="96" customFormat="1" ht="12" x14ac:dyDescent="0.2">
      <c r="A104" s="13" t="s">
        <v>19</v>
      </c>
      <c r="B104" s="15">
        <v>8846</v>
      </c>
      <c r="C104" s="90"/>
      <c r="D104" s="20"/>
      <c r="E104" s="8">
        <v>2025</v>
      </c>
      <c r="F104" s="20" t="s">
        <v>221</v>
      </c>
      <c r="G104" s="20" t="s">
        <v>222</v>
      </c>
      <c r="H104" s="93"/>
      <c r="I104" s="8" t="s">
        <v>23</v>
      </c>
      <c r="J104" s="13" t="s">
        <v>33</v>
      </c>
      <c r="K104" s="13" t="s">
        <v>68</v>
      </c>
      <c r="L104" s="13" t="s">
        <v>210</v>
      </c>
      <c r="M104" s="13" t="s">
        <v>32</v>
      </c>
      <c r="N104" s="13">
        <v>100</v>
      </c>
      <c r="O104" s="13">
        <v>100</v>
      </c>
      <c r="P104" s="90">
        <f t="shared" si="26"/>
        <v>0</v>
      </c>
      <c r="Q104" s="10">
        <f>(111029*(O104/100)/12)</f>
        <v>9252.4166666666661</v>
      </c>
      <c r="R104" s="9">
        <v>45658</v>
      </c>
      <c r="S104" s="9">
        <v>45838</v>
      </c>
      <c r="T104" s="75">
        <v>0</v>
      </c>
      <c r="U104" s="68">
        <f>(Q104*T104)*1.18</f>
        <v>0</v>
      </c>
      <c r="V104" s="95"/>
      <c r="W104" s="94">
        <v>0</v>
      </c>
      <c r="X104" s="10">
        <f t="shared" si="30"/>
        <v>0</v>
      </c>
      <c r="Y104" s="91"/>
      <c r="Z104" s="91"/>
    </row>
    <row r="105" spans="1:39" s="96" customFormat="1" ht="12" x14ac:dyDescent="0.2">
      <c r="A105" s="13" t="s">
        <v>19</v>
      </c>
      <c r="B105" s="15">
        <v>8846</v>
      </c>
      <c r="C105" s="90"/>
      <c r="D105" s="20"/>
      <c r="E105" s="8">
        <v>2025</v>
      </c>
      <c r="F105" s="20" t="s">
        <v>248</v>
      </c>
      <c r="G105" s="20" t="s">
        <v>249</v>
      </c>
      <c r="H105" s="93"/>
      <c r="I105" s="8" t="s">
        <v>23</v>
      </c>
      <c r="J105" s="13" t="s">
        <v>33</v>
      </c>
      <c r="K105" s="13" t="s">
        <v>68</v>
      </c>
      <c r="L105" s="13" t="s">
        <v>201</v>
      </c>
      <c r="M105" s="13" t="s">
        <v>32</v>
      </c>
      <c r="N105" s="13">
        <v>100</v>
      </c>
      <c r="O105" s="13">
        <v>100</v>
      </c>
      <c r="P105" s="90">
        <f t="shared" si="26"/>
        <v>0</v>
      </c>
      <c r="Q105" s="10">
        <f>(111029*(O105/100)/12)</f>
        <v>9252.4166666666661</v>
      </c>
      <c r="R105" s="9">
        <v>45809</v>
      </c>
      <c r="S105" s="9">
        <v>45991</v>
      </c>
      <c r="T105" s="75">
        <v>0</v>
      </c>
      <c r="U105" s="94">
        <f>(Q105*T105)*1.18</f>
        <v>0</v>
      </c>
      <c r="V105" s="95"/>
      <c r="W105" s="94">
        <v>0</v>
      </c>
      <c r="X105" s="10">
        <f t="shared" si="30"/>
        <v>0</v>
      </c>
      <c r="Y105" s="91"/>
      <c r="Z105" s="91"/>
    </row>
    <row r="106" spans="1:39" s="91" customFormat="1" ht="12" x14ac:dyDescent="0.2">
      <c r="A106" s="11" t="s">
        <v>19</v>
      </c>
      <c r="B106" s="15">
        <v>8846</v>
      </c>
      <c r="C106" s="90"/>
      <c r="D106" s="8"/>
      <c r="E106" s="8" t="s">
        <v>344</v>
      </c>
      <c r="F106" s="8" t="s">
        <v>345</v>
      </c>
      <c r="G106" s="8" t="s">
        <v>346</v>
      </c>
      <c r="H106" s="16"/>
      <c r="I106" s="8" t="s">
        <v>23</v>
      </c>
      <c r="J106" s="13" t="s">
        <v>33</v>
      </c>
      <c r="K106" s="13" t="s">
        <v>68</v>
      </c>
      <c r="L106" s="13" t="s">
        <v>347</v>
      </c>
      <c r="M106" s="13" t="s">
        <v>348</v>
      </c>
      <c r="N106" s="13">
        <v>100</v>
      </c>
      <c r="O106" s="13">
        <v>100</v>
      </c>
      <c r="P106" s="90">
        <f t="shared" si="26"/>
        <v>0</v>
      </c>
      <c r="Q106" s="10">
        <f>(111029*(O106/100)/12)</f>
        <v>9252.4166666666661</v>
      </c>
      <c r="R106" s="9">
        <v>45658</v>
      </c>
      <c r="S106" s="9">
        <v>45838</v>
      </c>
      <c r="T106" s="22">
        <v>0</v>
      </c>
      <c r="U106" s="94">
        <f>(Q106*T106)*1.18</f>
        <v>0</v>
      </c>
      <c r="V106" s="13"/>
      <c r="W106" s="94">
        <v>0</v>
      </c>
      <c r="X106" s="10">
        <f t="shared" si="30"/>
        <v>0</v>
      </c>
      <c r="AA106" s="88"/>
      <c r="AB106" s="88"/>
      <c r="AC106" s="88"/>
      <c r="AD106" s="88"/>
      <c r="AE106" s="88"/>
      <c r="AF106" s="88"/>
      <c r="AG106" s="88"/>
      <c r="AH106" s="89"/>
      <c r="AI106" s="89"/>
      <c r="AJ106" s="88"/>
      <c r="AK106" s="88"/>
      <c r="AL106" s="88"/>
      <c r="AM106" s="88"/>
    </row>
    <row r="107" spans="1:39" s="91" customFormat="1" ht="12" x14ac:dyDescent="0.2">
      <c r="A107" s="11" t="s">
        <v>19</v>
      </c>
      <c r="B107" s="15">
        <v>8846</v>
      </c>
      <c r="C107" s="90"/>
      <c r="D107" s="8"/>
      <c r="E107" s="8" t="s">
        <v>131</v>
      </c>
      <c r="F107" s="8" t="s">
        <v>379</v>
      </c>
      <c r="G107" s="8" t="s">
        <v>380</v>
      </c>
      <c r="H107" s="16"/>
      <c r="I107" s="8" t="s">
        <v>23</v>
      </c>
      <c r="J107" s="13" t="s">
        <v>33</v>
      </c>
      <c r="K107" s="13" t="s">
        <v>68</v>
      </c>
      <c r="L107" s="13" t="s">
        <v>381</v>
      </c>
      <c r="M107" s="13" t="s">
        <v>32</v>
      </c>
      <c r="N107" s="13">
        <v>90</v>
      </c>
      <c r="O107" s="13">
        <v>90</v>
      </c>
      <c r="P107" s="90">
        <f t="shared" si="26"/>
        <v>603</v>
      </c>
      <c r="Q107" s="10">
        <f>(111029*(O107/100)/12)</f>
        <v>8327.1750000000011</v>
      </c>
      <c r="R107" s="9">
        <v>45383</v>
      </c>
      <c r="S107" s="227">
        <v>45586</v>
      </c>
      <c r="T107" s="22">
        <v>6.7</v>
      </c>
      <c r="U107" s="92">
        <f>(Q107*T107)*1.18</f>
        <v>65834.645550000001</v>
      </c>
      <c r="V107" s="13"/>
      <c r="W107" s="94">
        <v>24000</v>
      </c>
      <c r="X107" s="10">
        <f t="shared" si="30"/>
        <v>41834.645550000001</v>
      </c>
      <c r="AA107" s="88"/>
      <c r="AB107" s="88"/>
      <c r="AC107" s="88"/>
      <c r="AD107" s="88"/>
      <c r="AE107" s="88"/>
      <c r="AF107" s="88"/>
      <c r="AG107" s="88"/>
      <c r="AH107" s="88"/>
      <c r="AI107" s="88"/>
      <c r="AJ107" s="88"/>
      <c r="AK107" s="88"/>
      <c r="AL107" s="88"/>
      <c r="AM107" s="88"/>
    </row>
    <row r="108" spans="1:39" s="91" customFormat="1" ht="12" x14ac:dyDescent="0.2">
      <c r="A108" s="11"/>
      <c r="B108" s="15"/>
      <c r="C108" s="90"/>
      <c r="D108" s="8"/>
      <c r="E108" s="8"/>
      <c r="F108" s="8" t="s">
        <v>384</v>
      </c>
      <c r="G108" s="8" t="s">
        <v>385</v>
      </c>
      <c r="H108" s="16"/>
      <c r="I108" s="8"/>
      <c r="J108" s="13"/>
      <c r="K108" s="13"/>
      <c r="L108" s="13"/>
      <c r="M108" s="13"/>
      <c r="N108" s="13">
        <v>90</v>
      </c>
      <c r="O108" s="13">
        <v>90</v>
      </c>
      <c r="P108" s="90">
        <f t="shared" si="26"/>
        <v>603</v>
      </c>
      <c r="Q108" s="10">
        <f>(111029*(O108/100)/12)</f>
        <v>8327.1750000000011</v>
      </c>
      <c r="R108" s="9">
        <v>45444</v>
      </c>
      <c r="S108" s="227">
        <v>45647</v>
      </c>
      <c r="T108" s="22">
        <v>6.7</v>
      </c>
      <c r="U108" s="92">
        <f>(Q108*T108)*1.18</f>
        <v>65834.645550000001</v>
      </c>
      <c r="V108" s="14"/>
      <c r="W108" s="13">
        <v>24000</v>
      </c>
      <c r="X108" s="10">
        <f t="shared" si="30"/>
        <v>41834.645550000001</v>
      </c>
      <c r="AA108" s="88"/>
      <c r="AB108" s="88"/>
      <c r="AC108" s="88"/>
      <c r="AD108" s="88"/>
      <c r="AE108" s="88"/>
      <c r="AF108" s="88"/>
      <c r="AG108" s="88"/>
      <c r="AH108" s="88"/>
      <c r="AI108" s="88"/>
      <c r="AJ108" s="88"/>
      <c r="AK108" s="88"/>
      <c r="AL108" s="88"/>
      <c r="AM108" s="88"/>
    </row>
  </sheetData>
  <sortState ref="A25:AD84">
    <sortCondition ref="F25:F47"/>
    <sortCondition ref="G25:G47"/>
  </sortState>
  <pageMargins left="0" right="0" top="0.59055118110236227" bottom="0.59055118110236227" header="0.31496062992125984" footer="0.31496062992125984"/>
  <pageSetup paperSize="9" scale="4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baseColWidth="10" defaultRowHeight="12.75" x14ac:dyDescent="0.2"/>
  <cols>
    <col min="3" max="3" width="12.85546875" bestFit="1" customWidth="1"/>
    <col min="4" max="4" width="11.42578125" style="220"/>
  </cols>
  <sheetData>
    <row r="1" spans="1:5" x14ac:dyDescent="0.2">
      <c r="A1" s="217" t="s">
        <v>323</v>
      </c>
      <c r="B1" s="217" t="s">
        <v>1</v>
      </c>
      <c r="C1" s="217" t="s">
        <v>324</v>
      </c>
      <c r="D1" s="218" t="s">
        <v>325</v>
      </c>
      <c r="E1" s="217" t="s">
        <v>326</v>
      </c>
    </row>
    <row r="2" spans="1:5" x14ac:dyDescent="0.2">
      <c r="A2" t="s">
        <v>321</v>
      </c>
      <c r="B2" t="s">
        <v>322</v>
      </c>
      <c r="C2" t="s">
        <v>69</v>
      </c>
      <c r="D2" s="219">
        <v>45413</v>
      </c>
      <c r="E2" s="216">
        <v>45307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7"/>
  <sheetViews>
    <sheetView workbookViewId="0">
      <selection activeCell="G32" sqref="G32"/>
    </sheetView>
  </sheetViews>
  <sheetFormatPr baseColWidth="10" defaultRowHeight="12.75" x14ac:dyDescent="0.2"/>
  <cols>
    <col min="2" max="2" width="38.5703125" customWidth="1"/>
    <col min="3" max="3" width="13.28515625" customWidth="1"/>
  </cols>
  <sheetData>
    <row r="2" spans="1:2" x14ac:dyDescent="0.2">
      <c r="A2" s="38"/>
      <c r="B2" s="37"/>
    </row>
    <row r="7" spans="1:2" x14ac:dyDescent="0.2">
      <c r="A7" s="39"/>
    </row>
    <row r="17" spans="1:2" x14ac:dyDescent="0.2">
      <c r="A17" s="38"/>
      <c r="B17" s="37"/>
    </row>
    <row r="22" spans="1:2" x14ac:dyDescent="0.2">
      <c r="A22" s="39"/>
    </row>
    <row r="29" spans="1:2" x14ac:dyDescent="0.2">
      <c r="A29" s="67" t="s">
        <v>89</v>
      </c>
    </row>
    <row r="30" spans="1:2" x14ac:dyDescent="0.2">
      <c r="A30" t="s">
        <v>90</v>
      </c>
      <c r="B30" t="s">
        <v>91</v>
      </c>
    </row>
    <row r="31" spans="1:2" x14ac:dyDescent="0.2">
      <c r="A31" t="s">
        <v>92</v>
      </c>
      <c r="B31" t="s">
        <v>93</v>
      </c>
    </row>
    <row r="33" spans="1:2" x14ac:dyDescent="0.2">
      <c r="A33" s="67" t="s">
        <v>95</v>
      </c>
    </row>
    <row r="34" spans="1:2" x14ac:dyDescent="0.2">
      <c r="A34" t="s">
        <v>68</v>
      </c>
      <c r="B34" t="s">
        <v>94</v>
      </c>
    </row>
    <row r="36" spans="1:2" x14ac:dyDescent="0.2">
      <c r="A36" s="67" t="s">
        <v>96</v>
      </c>
    </row>
    <row r="37" spans="1:2" x14ac:dyDescent="0.2">
      <c r="A37" t="s">
        <v>68</v>
      </c>
      <c r="B37" t="s">
        <v>97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2024 USZ Datensätze</vt:lpstr>
      <vt:lpstr>Über Budget</vt:lpstr>
      <vt:lpstr>Leist.Vereinbarung 2022-24</vt:lpstr>
      <vt:lpstr>'2024 USZ Datensätze'!Print_Titles</vt:lpstr>
    </vt:vector>
  </TitlesOfParts>
  <Company>UniversitätsSpital 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Schickel Anke</dc:creator>
  <cp:lastModifiedBy>Zambelis Karin</cp:lastModifiedBy>
  <cp:lastPrinted>2023-09-05T11:21:40Z</cp:lastPrinted>
  <dcterms:created xsi:type="dcterms:W3CDTF">2016-06-24T06:09:33Z</dcterms:created>
  <dcterms:modified xsi:type="dcterms:W3CDTF">2024-03-04T15:28:08Z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df650f63-f13b-4add-941a-fdc78f5a97e1</vt:lpwstr>
  </property>
</Properties>
</file>