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205A7B44-4B53-46AB-8CF3-24CB763890AD}" xr6:coauthVersionLast="47" xr6:coauthVersionMax="47" xr10:uidLastSave="{00000000-0000-0000-0000-000000000000}"/>
  <bookViews>
    <workbookView xWindow="-120" yWindow="-120" windowWidth="29040" windowHeight="15720" tabRatio="876" xr2:uid="{E7BCC947-1515-412E-876B-4510C27535DC}"/>
  </bookViews>
  <sheets>
    <sheet name="Data" sheetId="1" r:id="rId1"/>
    <sheet name="Cycles (Values)" sheetId="9" r:id="rId2"/>
    <sheet name="Dynamic Power Analysis (Values)" sheetId="2" r:id="rId3"/>
    <sheet name="Dynamic Power Analysis (Abs.E.)" sheetId="3" r:id="rId4"/>
    <sheet name="Dynamic Power Analysis (Per.V.)" sheetId="4" r:id="rId5"/>
    <sheet name="Utilization Analysis (Values)" sheetId="6" r:id="rId6"/>
    <sheet name="Utilization Analysis (Abs.E.)" sheetId="7" r:id="rId7"/>
    <sheet name="Utilization Analysis (Per.V.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38" i="1" s="1"/>
  <c r="O11" i="1"/>
  <c r="O37" i="1" s="1"/>
  <c r="O10" i="1"/>
  <c r="O62" i="1" s="1"/>
  <c r="O9" i="1"/>
  <c r="O35" i="1" s="1"/>
  <c r="O8" i="1"/>
  <c r="O34" i="1" s="1"/>
  <c r="O7" i="1"/>
  <c r="O33" i="1" s="1"/>
  <c r="O6" i="1"/>
  <c r="O58" i="1" s="1"/>
  <c r="O5" i="1"/>
  <c r="O31" i="1" s="1"/>
  <c r="O4" i="1"/>
  <c r="O74" i="1"/>
  <c r="O75" i="1"/>
  <c r="O76" i="1"/>
  <c r="O77" i="1"/>
  <c r="O66" i="1"/>
  <c r="O67" i="1"/>
  <c r="O68" i="1"/>
  <c r="O70" i="1"/>
  <c r="O71" i="1"/>
  <c r="O72" i="1"/>
  <c r="O56" i="1"/>
  <c r="O60" i="1"/>
  <c r="O63" i="1"/>
  <c r="O50" i="1"/>
  <c r="O49" i="1"/>
  <c r="O51" i="1"/>
  <c r="O48" i="1"/>
  <c r="O41" i="1"/>
  <c r="O42" i="1"/>
  <c r="O43" i="1"/>
  <c r="O44" i="1"/>
  <c r="O45" i="1"/>
  <c r="O46" i="1"/>
  <c r="O40" i="1"/>
  <c r="O32" i="1"/>
  <c r="O36" i="1"/>
  <c r="O30" i="1"/>
  <c r="O25" i="1"/>
  <c r="N12" i="1"/>
  <c r="N38" i="1" s="1"/>
  <c r="N11" i="1"/>
  <c r="N37" i="1" s="1"/>
  <c r="N10" i="1"/>
  <c r="N62" i="1" s="1"/>
  <c r="N9" i="1"/>
  <c r="N61" i="1" s="1"/>
  <c r="N8" i="1"/>
  <c r="N34" i="1" s="1"/>
  <c r="N7" i="1"/>
  <c r="N59" i="1" s="1"/>
  <c r="N6" i="1"/>
  <c r="N5" i="1"/>
  <c r="N57" i="1" s="1"/>
  <c r="N4" i="1"/>
  <c r="N30" i="1" s="1"/>
  <c r="N25" i="1"/>
  <c r="N77" i="1" s="1"/>
  <c r="N74" i="1"/>
  <c r="N75" i="1"/>
  <c r="N76" i="1"/>
  <c r="N66" i="1"/>
  <c r="N67" i="1"/>
  <c r="N68" i="1"/>
  <c r="N70" i="1"/>
  <c r="N71" i="1"/>
  <c r="N72" i="1"/>
  <c r="N58" i="1"/>
  <c r="N49" i="1"/>
  <c r="N50" i="1"/>
  <c r="N48" i="1"/>
  <c r="N41" i="1"/>
  <c r="N42" i="1"/>
  <c r="N43" i="1"/>
  <c r="N44" i="1"/>
  <c r="N45" i="1"/>
  <c r="N46" i="1"/>
  <c r="N40" i="1"/>
  <c r="N31" i="1"/>
  <c r="N32" i="1"/>
  <c r="N33" i="1"/>
  <c r="M12" i="1"/>
  <c r="M64" i="1" s="1"/>
  <c r="M11" i="1"/>
  <c r="M63" i="1" s="1"/>
  <c r="M10" i="1"/>
  <c r="M62" i="1" s="1"/>
  <c r="M9" i="1"/>
  <c r="M61" i="1" s="1"/>
  <c r="M8" i="1"/>
  <c r="M60" i="1" s="1"/>
  <c r="M7" i="1"/>
  <c r="M33" i="1" s="1"/>
  <c r="M6" i="1"/>
  <c r="M58" i="1" s="1"/>
  <c r="M5" i="1"/>
  <c r="M57" i="1" s="1"/>
  <c r="M4" i="1"/>
  <c r="M56" i="1" s="1"/>
  <c r="M25" i="1"/>
  <c r="M77" i="1" s="1"/>
  <c r="M74" i="1"/>
  <c r="M75" i="1"/>
  <c r="M76" i="1"/>
  <c r="M66" i="1"/>
  <c r="M67" i="1"/>
  <c r="M68" i="1"/>
  <c r="M70" i="1"/>
  <c r="M71" i="1"/>
  <c r="M72" i="1"/>
  <c r="M59" i="1"/>
  <c r="M49" i="1"/>
  <c r="M50" i="1"/>
  <c r="M48" i="1"/>
  <c r="M41" i="1"/>
  <c r="M42" i="1"/>
  <c r="M43" i="1"/>
  <c r="M44" i="1"/>
  <c r="M45" i="1"/>
  <c r="M46" i="1"/>
  <c r="M40" i="1"/>
  <c r="M32" i="1"/>
  <c r="M30" i="1"/>
  <c r="L12" i="1"/>
  <c r="L11" i="1"/>
  <c r="L37" i="1" s="1"/>
  <c r="L10" i="1"/>
  <c r="L36" i="1" s="1"/>
  <c r="L9" i="1"/>
  <c r="L61" i="1" s="1"/>
  <c r="L8" i="1"/>
  <c r="L7" i="1"/>
  <c r="L6" i="1"/>
  <c r="L5" i="1"/>
  <c r="L31" i="1" s="1"/>
  <c r="L32" i="1"/>
  <c r="L33" i="1"/>
  <c r="L34" i="1"/>
  <c r="L38" i="1"/>
  <c r="L30" i="1"/>
  <c r="L4" i="1"/>
  <c r="L41" i="1"/>
  <c r="L42" i="1"/>
  <c r="L43" i="1"/>
  <c r="L44" i="1"/>
  <c r="L45" i="1"/>
  <c r="L46" i="1"/>
  <c r="L40" i="1"/>
  <c r="L49" i="1"/>
  <c r="L50" i="1"/>
  <c r="L51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D75" i="1"/>
  <c r="D76" i="1"/>
  <c r="D77" i="1"/>
  <c r="D74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D57" i="1"/>
  <c r="D58" i="1"/>
  <c r="D59" i="1"/>
  <c r="D60" i="1"/>
  <c r="D61" i="1"/>
  <c r="D62" i="1"/>
  <c r="D63" i="1"/>
  <c r="D64" i="1"/>
  <c r="D56" i="1"/>
  <c r="J48" i="1"/>
  <c r="I48" i="1"/>
  <c r="H48" i="1"/>
  <c r="G48" i="1"/>
  <c r="F48" i="1"/>
  <c r="E48" i="1"/>
  <c r="D48" i="1"/>
  <c r="K48" i="1"/>
  <c r="K31" i="1"/>
  <c r="K32" i="1"/>
  <c r="K33" i="1"/>
  <c r="K34" i="1"/>
  <c r="K35" i="1"/>
  <c r="K36" i="1"/>
  <c r="K37" i="1"/>
  <c r="K38" i="1"/>
  <c r="K30" i="1"/>
  <c r="K12" i="1"/>
  <c r="K11" i="1"/>
  <c r="K10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12" i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50" i="1"/>
  <c r="J49" i="1"/>
  <c r="J41" i="1"/>
  <c r="J42" i="1"/>
  <c r="J43" i="1"/>
  <c r="J44" i="1"/>
  <c r="J45" i="1"/>
  <c r="J46" i="1"/>
  <c r="J40" i="1"/>
  <c r="J32" i="1"/>
  <c r="J37" i="1"/>
  <c r="J25" i="1"/>
  <c r="I50" i="1"/>
  <c r="I49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5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5" i="1"/>
  <c r="O64" i="1" l="1"/>
  <c r="O61" i="1"/>
  <c r="O59" i="1"/>
  <c r="O57" i="1"/>
  <c r="N64" i="1"/>
  <c r="N63" i="1"/>
  <c r="N36" i="1"/>
  <c r="N35" i="1"/>
  <c r="N60" i="1"/>
  <c r="N56" i="1"/>
  <c r="N51" i="1"/>
  <c r="M38" i="1"/>
  <c r="M37" i="1"/>
  <c r="M36" i="1"/>
  <c r="M35" i="1"/>
  <c r="M34" i="1"/>
  <c r="M31" i="1"/>
  <c r="M51" i="1"/>
  <c r="L35" i="1"/>
  <c r="L57" i="1"/>
  <c r="E25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5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5" i="1"/>
  <c r="F51" i="1" l="1"/>
  <c r="J51" i="1"/>
  <c r="H51" i="1"/>
  <c r="G51" i="1"/>
  <c r="I51" i="1"/>
  <c r="K51" i="1"/>
  <c r="E37" i="1"/>
  <c r="E51" i="1"/>
  <c r="D51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C28" authorId="0" shapeId="0" xr:uid="{905D979A-D569-4017-8C5E-C99DF3158307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ABSOLUTE_ERROR = SOLUTION - UNOPTIMIZED</t>
        </r>
      </text>
    </comment>
    <comment ref="C54" authorId="0" shapeId="0" xr:uid="{091EFB19-36EE-4D21-BA4C-183860524C78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PERCENTAGE_VARIATION = ((SOLUTION-UNOPTIMIZED) / UNOPTIMIZED) * 100</t>
        </r>
      </text>
    </comment>
  </commentList>
</comments>
</file>

<file path=xl/sharedStrings.xml><?xml version="1.0" encoding="utf-8"?>
<sst xmlns="http://schemas.openxmlformats.org/spreadsheetml/2006/main" count="109" uniqueCount="49">
  <si>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</si>
  <si>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</si>
  <si>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</si>
  <si>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</si>
  <si>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</si>
  <si>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</si>
  <si>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</si>
  <si>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</si>
  <si>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</si>
  <si>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</si>
  <si>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</si>
  <si>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</si>
  <si>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</si>
  <si>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</si>
  <si>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</si>
  <si>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</si>
  <si>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</si>
  <si>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</si>
  <si>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</si>
  <si>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</si>
  <si>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</si>
  <si>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</si>
  <si>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</si>
  <si>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</si>
  <si>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</si>
  <si>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</si>
  <si>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</si>
  <si>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</si>
  <si>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</si>
  <si>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</si>
  <si>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</si>
  <si>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</si>
  <si>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</si>
  <si>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</si>
  <si>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</si>
  <si>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</si>
  <si>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</si>
  <si>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</si>
  <si>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</si>
  <si>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Hierarchical [%]</t>
  </si>
  <si>
    <t>I/O [%]</t>
  </si>
  <si>
    <t>Logic [%]</t>
  </si>
  <si>
    <t>Set/Reset [%]</t>
  </si>
  <si>
    <t>Data [%]</t>
  </si>
  <si>
    <t>Total [%]</t>
  </si>
  <si>
    <t>PERCENTAGE VARIATION</t>
  </si>
  <si>
    <t>Operation Chaining Solution CLK=5ns</t>
  </si>
  <si>
    <t>Operation Chaining Solution CLK=4ns</t>
  </si>
  <si>
    <t>Loop Pipelining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</si>
</sst>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Data!$C$4:$O$4</c:f>
              <c:numCache>
                <c:formatCode>General</c:formatCode>
                <c:ptCount val="13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  <c:pt idx="12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Data!$C$5:$O$5</c:f>
              <c:numCache>
                <c:formatCode>General</c:formatCode>
                <c:ptCount val="13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  <c:pt idx="12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Data!$C$6:$O$6</c:f>
              <c:numCache>
                <c:formatCode>General</c:formatCode>
                <c:ptCount val="13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  <c:pt idx="12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Data!$C$7:$O$7</c:f>
              <c:numCache>
                <c:formatCode>General</c:formatCode>
                <c:ptCount val="13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  <c:pt idx="12">
                  <c:v>15.2246076613665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Data!$C$8:$O$8</c:f>
              <c:numCache>
                <c:formatCode>General</c:formatCode>
                <c:ptCount val="13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  <c:pt idx="12">
                  <c:v>9.7278133034706098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Data!$C$9:$O$9</c:f>
              <c:numCache>
                <c:formatCode>General</c:formatCode>
                <c:ptCount val="13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  <c:pt idx="12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Data!$C$10:$O$10</c:f>
              <c:numCache>
                <c:formatCode>0.00E+00</c:formatCode>
                <c:ptCount val="13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  <c:pt idx="12" formatCode="General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Data!$C$11:$O$11</c:f>
              <c:numCache>
                <c:formatCode>General</c:formatCode>
                <c:ptCount val="13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  <c:pt idx="12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Data!$C$12:$O$12</c:f>
              <c:numCache>
                <c:formatCode>General</c:formatCode>
                <c:ptCount val="13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  <c:pt idx="12">
                  <c:v>30.449216039414782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Data!$D$30:$O$30</c:f>
              <c:numCache>
                <c:formatCode>General</c:formatCode>
                <c:ptCount val="12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  <c:pt idx="11">
                  <c:v>-0.10349464719183699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D93-83BD-74C266318B84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Data!$D$31:$O$31</c:f>
              <c:numCache>
                <c:formatCode>General</c:formatCode>
                <c:ptCount val="12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  <c:pt idx="11">
                  <c:v>-0.57320104679092787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D93-83BD-74C266318B84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Data!$D$32:$O$32</c:f>
              <c:numCache>
                <c:formatCode>General</c:formatCode>
                <c:ptCount val="12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  <c:pt idx="11">
                  <c:v>0.854059064295146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D93-83BD-74C266318B84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Data!$D$33:$O$33</c:f>
              <c:numCache>
                <c:formatCode>General</c:formatCode>
                <c:ptCount val="12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  <c:pt idx="11">
                  <c:v>7.7238422818482304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D93-83BD-74C266318B84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Data!$D$34:$O$34</c:f>
              <c:numCache>
                <c:formatCode>General</c:formatCode>
                <c:ptCount val="12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  <c:pt idx="11">
                  <c:v>6.1638767365366203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5-4D93-83BD-74C266318B84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Data!$D$35:$O$35</c:f>
              <c:numCache>
                <c:formatCode>General</c:formatCode>
                <c:ptCount val="12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  <c:pt idx="11">
                  <c:v>0.46632770681753499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5-4D93-83BD-74C266318B84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Data!$D$36:$O$36</c:f>
              <c:numCache>
                <c:formatCode>General</c:formatCode>
                <c:ptCount val="12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  <c:pt idx="11">
                  <c:v>1.5168068102866538E-2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5-4D93-83BD-74C266318B84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Data!$D$37:$O$37</c:f>
              <c:numCache>
                <c:formatCode>General</c:formatCode>
                <c:ptCount val="12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  <c:pt idx="11">
                  <c:v>0.90110651217401005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5-4D93-83BD-74C266318B84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Data!$D$38:$O$38</c:f>
              <c:numCache>
                <c:formatCode>General</c:formatCode>
                <c:ptCount val="12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  <c:pt idx="11">
                  <c:v>15.447684675791637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5-4D93-83BD-74C26631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Data!$D$56:$O$56</c:f>
              <c:numCache>
                <c:formatCode>General</c:formatCode>
                <c:ptCount val="12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  <c:pt idx="11">
                  <c:v>-22.784761868880814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441-B2BD-B5ECBFC44572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Data!$D$57:$O$57</c:f>
              <c:numCache>
                <c:formatCode>General</c:formatCode>
                <c:ptCount val="12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  <c:pt idx="11">
                  <c:v>-47.158219339722038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441-B2BD-B5ECBFC44572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Data!$D$58:$O$58</c:f>
              <c:numCache>
                <c:formatCode>General</c:formatCode>
                <c:ptCount val="12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  <c:pt idx="11">
                  <c:v>254.93402003211321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2-4441-B2BD-B5ECBFC44572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Data!$D$59:$O$59</c:f>
              <c:numCache>
                <c:formatCode>General</c:formatCode>
                <c:ptCount val="12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  <c:pt idx="11">
                  <c:v>102.97405519360862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2-4441-B2BD-B5ECBFC44572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Data!$D$60:$O$60</c:f>
              <c:numCache>
                <c:formatCode>General</c:formatCode>
                <c:ptCount val="12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  <c:pt idx="11">
                  <c:v>172.95135928413356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2-4441-B2BD-B5ECBFC44572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Data!$D$61:$O$61</c:f>
              <c:numCache>
                <c:formatCode>General</c:formatCode>
                <c:ptCount val="12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  <c:pt idx="11">
                  <c:v>50.606354717967697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2-4441-B2BD-B5ECBFC44572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Data!$D$62:$O$62</c:f>
              <c:numCache>
                <c:formatCode>General</c:formatCode>
                <c:ptCount val="12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  <c:pt idx="11">
                  <c:v>425.46027257700734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2-4441-B2BD-B5ECBFC44572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Data!$D$63:$O$63</c:f>
              <c:numCache>
                <c:formatCode>General</c:formatCode>
                <c:ptCount val="12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  <c:pt idx="11">
                  <c:v>89.478966487318147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2-4441-B2BD-B5ECBFC44572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Data!$D$64:$O$64</c:f>
              <c:numCache>
                <c:formatCode>General</c:formatCode>
                <c:ptCount val="12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  <c:pt idx="11">
                  <c:v>102.97405179080823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2-4441-B2BD-B5ECBFC4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Data!$C$14:$O$14</c:f>
              <c:numCache>
                <c:formatCode>General</c:formatCode>
                <c:ptCount val="13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  <c:pt idx="1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E-4698-ACB6-D81ECEDDC7AA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Data!$C$15:$O$15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E-4698-ACB6-D81ECEDDC7AA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Data!$C$16:$O$16</c:f>
              <c:numCache>
                <c:formatCode>General</c:formatCode>
                <c:ptCount val="13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  <c:pt idx="1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E-4698-ACB6-D81ECEDDC7AA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Data!$C$17:$O$17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E-4698-ACB6-D81ECEDDC7AA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Data!$C$18:$O$18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E-4698-ACB6-D81ECEDDC7AA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Data!$C$19:$O$19</c:f>
              <c:numCache>
                <c:formatCode>General</c:formatCode>
                <c:ptCount val="1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E-4698-ACB6-D81ECEDDC7AA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Data!$C$20:$O$20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2E-4698-ACB6-D81ECEDD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Data!$D$40:$O$40</c:f>
              <c:numCache>
                <c:formatCode>General</c:formatCode>
                <c:ptCount val="12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5AF-AECB-17B087AF46F4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Data!$D$41:$O$41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5AF-AECB-17B087AF46F4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Data!$D$42:$O$42</c:f>
              <c:numCache>
                <c:formatCode>General</c:formatCode>
                <c:ptCount val="12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  <c:pt idx="1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5AF-AECB-17B087AF46F4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Data!$D$43:$O$43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E-45AF-AECB-17B087AF46F4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Data!$D$44:$O$44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E-45AF-AECB-17B087AF46F4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Data!$D$45:$O$45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E-45AF-AECB-17B087AF46F4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Data!$D$46:$O$46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E-45AF-AECB-17B087AF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Data!$D$66:$O$66</c:f>
              <c:numCache>
                <c:formatCode>General</c:formatCode>
                <c:ptCount val="12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  <c:pt idx="11">
                  <c:v>13.090909090909092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7AD-9897-6A6670E61A7C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Data!$D$67:$O$67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7AD-9897-6A6670E61A7C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Data!$D$68:$O$68</c:f>
              <c:numCache>
                <c:formatCode>General</c:formatCode>
                <c:ptCount val="12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  <c:pt idx="11">
                  <c:v>186.25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E-47AD-9897-6A6670E61A7C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Data!$D$69:$O$69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E-47AD-9897-6A6670E61A7C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Data!$D$70:$O$70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E-47AD-9897-6A6670E61A7C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Data!$D$71:$O$71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E-47AD-9897-6A6670E61A7C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Data!$D$72:$O$72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E-47AD-9897-6A6670E6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Data!$D$30:$O$30</c:f>
              <c:numCache>
                <c:formatCode>General</c:formatCode>
                <c:ptCount val="12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  <c:pt idx="11">
                  <c:v>-0.10349464719183699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Data!$D$31:$O$31</c:f>
              <c:numCache>
                <c:formatCode>General</c:formatCode>
                <c:ptCount val="12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  <c:pt idx="11">
                  <c:v>-0.57320104679092787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Data!$D$32:$O$32</c:f>
              <c:numCache>
                <c:formatCode>General</c:formatCode>
                <c:ptCount val="12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  <c:pt idx="11">
                  <c:v>0.854059064295146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Data!$D$33:$O$33</c:f>
              <c:numCache>
                <c:formatCode>General</c:formatCode>
                <c:ptCount val="12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  <c:pt idx="11">
                  <c:v>7.7238422818482304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Data!$D$34:$O$34</c:f>
              <c:numCache>
                <c:formatCode>General</c:formatCode>
                <c:ptCount val="12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  <c:pt idx="11">
                  <c:v>6.1638767365366203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Data!$D$35:$O$35</c:f>
              <c:numCache>
                <c:formatCode>General</c:formatCode>
                <c:ptCount val="12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  <c:pt idx="11">
                  <c:v>0.46632770681753499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Data!$D$36:$O$36</c:f>
              <c:numCache>
                <c:formatCode>General</c:formatCode>
                <c:ptCount val="12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  <c:pt idx="11">
                  <c:v>1.5168068102866538E-2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Data!$D$37:$O$37</c:f>
              <c:numCache>
                <c:formatCode>General</c:formatCode>
                <c:ptCount val="12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  <c:pt idx="11">
                  <c:v>0.90110651217401005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Data!$D$38:$O$38</c:f>
              <c:numCache>
                <c:formatCode>General</c:formatCode>
                <c:ptCount val="12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  <c:pt idx="11">
                  <c:v>15.447684675791637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Data!$C$14:$O$14</c:f>
              <c:numCache>
                <c:formatCode>General</c:formatCode>
                <c:ptCount val="13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  <c:pt idx="1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Data!$C$15:$O$15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Data!$C$16:$O$16</c:f>
              <c:numCache>
                <c:formatCode>General</c:formatCode>
                <c:ptCount val="13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  <c:pt idx="1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Data!$C$17:$O$17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Data!$C$18:$O$18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Data!$C$19:$O$19</c:f>
              <c:numCache>
                <c:formatCode>General</c:formatCode>
                <c:ptCount val="1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Data!$C$20:$O$20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Data!$D$40:$O$40</c:f>
              <c:numCache>
                <c:formatCode>General</c:formatCode>
                <c:ptCount val="12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Data!$D$41:$O$41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Data!$D$42:$O$42</c:f>
              <c:numCache>
                <c:formatCode>General</c:formatCode>
                <c:ptCount val="12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  <c:pt idx="1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Data!$D$43:$O$43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Data!$D$44:$O$44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Data!$D$45:$O$45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Data!$D$46:$O$46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Data!$D$56:$O$56</c:f>
              <c:numCache>
                <c:formatCode>General</c:formatCode>
                <c:ptCount val="12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  <c:pt idx="11">
                  <c:v>-22.784761868880814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Data!$D$57:$O$57</c:f>
              <c:numCache>
                <c:formatCode>General</c:formatCode>
                <c:ptCount val="12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  <c:pt idx="11">
                  <c:v>-47.158219339722038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Data!$D$58:$O$58</c:f>
              <c:numCache>
                <c:formatCode>General</c:formatCode>
                <c:ptCount val="12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  <c:pt idx="11">
                  <c:v>254.93402003211321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Data!$D$59:$O$59</c:f>
              <c:numCache>
                <c:formatCode>General</c:formatCode>
                <c:ptCount val="12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  <c:pt idx="11">
                  <c:v>102.97405519360862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F-48F0-8505-1AC2411F0824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Data!$D$60:$O$60</c:f>
              <c:numCache>
                <c:formatCode>General</c:formatCode>
                <c:ptCount val="12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  <c:pt idx="11">
                  <c:v>172.95135928413356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F-48F0-8505-1AC2411F0824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Data!$D$61:$O$61</c:f>
              <c:numCache>
                <c:formatCode>General</c:formatCode>
                <c:ptCount val="12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  <c:pt idx="11">
                  <c:v>50.606354717967697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Data!$D$62:$O$62</c:f>
              <c:numCache>
                <c:formatCode>General</c:formatCode>
                <c:ptCount val="12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  <c:pt idx="11">
                  <c:v>425.46027257700734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Data!$D$63:$O$63</c:f>
              <c:numCache>
                <c:formatCode>General</c:formatCode>
                <c:ptCount val="12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  <c:pt idx="11">
                  <c:v>89.478966487318147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Data!$D$64:$O$64</c:f>
              <c:numCache>
                <c:formatCode>General</c:formatCode>
                <c:ptCount val="12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  <c:pt idx="11">
                  <c:v>102.97405179080823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Data!$D$66:$O$66</c:f>
              <c:numCache>
                <c:formatCode>General</c:formatCode>
                <c:ptCount val="12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  <c:pt idx="11">
                  <c:v>13.090909090909092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Data!$D$67:$O$67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Data!$D$68:$O$68</c:f>
              <c:numCache>
                <c:formatCode>General</c:formatCode>
                <c:ptCount val="12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  <c:pt idx="11">
                  <c:v>186.25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Data!$D$69:$O$69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Data!$D$70:$O$70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Data!$D$71:$O$71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Data!$D$72:$O$72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Data!$C$22:$O$22</c:f>
              <c:numCache>
                <c:formatCode>General</c:formatCode>
                <c:ptCount val="13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35</c:v>
                </c:pt>
                <c:pt idx="4">
                  <c:v>25</c:v>
                </c:pt>
                <c:pt idx="5">
                  <c:v>44</c:v>
                </c:pt>
                <c:pt idx="6">
                  <c:v>50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  <c:pt idx="10">
                  <c:v>44</c:v>
                </c:pt>
                <c:pt idx="11">
                  <c:v>53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458-8791-F62A21D5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81584"/>
        <c:axId val="1625205584"/>
      </c:lineChart>
      <c:catAx>
        <c:axId val="1625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5584"/>
        <c:crosses val="autoZero"/>
        <c:auto val="1"/>
        <c:lblAlgn val="ctr"/>
        <c:lblOffset val="100"/>
        <c:noMultiLvlLbl val="0"/>
      </c:catAx>
      <c:valAx>
        <c:axId val="16252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Data!$C$22:$O$22</c:f>
              <c:numCache>
                <c:formatCode>General</c:formatCode>
                <c:ptCount val="13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35</c:v>
                </c:pt>
                <c:pt idx="4">
                  <c:v>25</c:v>
                </c:pt>
                <c:pt idx="5">
                  <c:v>44</c:v>
                </c:pt>
                <c:pt idx="6">
                  <c:v>50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  <c:pt idx="10">
                  <c:v>44</c:v>
                </c:pt>
                <c:pt idx="11">
                  <c:v>53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B3C-AE57-98E28E06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81584"/>
        <c:axId val="1625205584"/>
      </c:lineChart>
      <c:catAx>
        <c:axId val="1625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5584"/>
        <c:crosses val="autoZero"/>
        <c:auto val="1"/>
        <c:lblAlgn val="ctr"/>
        <c:lblOffset val="100"/>
        <c:noMultiLvlLbl val="0"/>
      </c:catAx>
      <c:valAx>
        <c:axId val="16252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Data!$C$4:$O$4</c:f>
              <c:numCache>
                <c:formatCode>General</c:formatCode>
                <c:ptCount val="13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  <c:pt idx="12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0-41E8-821E-44506111B52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Data!$C$5:$O$5</c:f>
              <c:numCache>
                <c:formatCode>General</c:formatCode>
                <c:ptCount val="13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  <c:pt idx="12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0-41E8-821E-44506111B52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Data!$C$6:$O$6</c:f>
              <c:numCache>
                <c:formatCode>General</c:formatCode>
                <c:ptCount val="13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  <c:pt idx="12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41E8-821E-44506111B52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Data!$C$7:$O$7</c:f>
              <c:numCache>
                <c:formatCode>General</c:formatCode>
                <c:ptCount val="13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  <c:pt idx="12">
                  <c:v>15.2246076613665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0-41E8-821E-44506111B52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Data!$C$8:$O$8</c:f>
              <c:numCache>
                <c:formatCode>General</c:formatCode>
                <c:ptCount val="13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  <c:pt idx="12">
                  <c:v>9.7278133034706098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0-41E8-821E-44506111B52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Data!$C$9:$O$9</c:f>
              <c:numCache>
                <c:formatCode>General</c:formatCode>
                <c:ptCount val="13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  <c:pt idx="12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0-41E8-821E-44506111B52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Data!$C$10:$O$10</c:f>
              <c:numCache>
                <c:formatCode>0.00E+00</c:formatCode>
                <c:ptCount val="13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  <c:pt idx="12" formatCode="General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0-41E8-821E-44506111B52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Data!$C$11:$O$11</c:f>
              <c:numCache>
                <c:formatCode>General</c:formatCode>
                <c:ptCount val="13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  <c:pt idx="12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40-41E8-821E-44506111B52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Data!$C$12:$O$12</c:f>
              <c:numCache>
                <c:formatCode>General</c:formatCode>
                <c:ptCount val="13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  <c:pt idx="12">
                  <c:v>30.449216039414782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40-41E8-821E-44506111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1797747</xdr:colOff>
      <xdr:row>78</xdr:row>
      <xdr:rowOff>145350</xdr:rowOff>
    </xdr:from>
    <xdr:to>
      <xdr:col>11</xdr:col>
      <xdr:colOff>2438068</xdr:colOff>
      <xdr:row>99</xdr:row>
      <xdr:rowOff>15629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1901280</xdr:colOff>
      <xdr:row>99</xdr:row>
      <xdr:rowOff>132445</xdr:rowOff>
    </xdr:from>
    <xdr:to>
      <xdr:col>11</xdr:col>
      <xdr:colOff>2562225</xdr:colOff>
      <xdr:row>119</xdr:row>
      <xdr:rowOff>188703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2189731</xdr:colOff>
      <xdr:row>120</xdr:row>
      <xdr:rowOff>15890</xdr:rowOff>
    </xdr:from>
    <xdr:to>
      <xdr:col>6</xdr:col>
      <xdr:colOff>1541318</xdr:colOff>
      <xdr:row>140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69E9A22-AC95-87BC-570B-5E3A6019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590550</xdr:colOff>
      <xdr:row>35</xdr:row>
      <xdr:rowOff>42750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85FDBF-488F-466C-9518-9F709AD63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35</xdr:row>
      <xdr:rowOff>52071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723052-D72A-443F-8822-13F7CADB3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9524</xdr:colOff>
      <xdr:row>23</xdr:row>
      <xdr:rowOff>118827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634A6D-9B89-4E63-9C69-BF08FE14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590550</xdr:colOff>
      <xdr:row>23</xdr:row>
      <xdr:rowOff>167395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2B9491-4777-48F3-AEB0-C3A872A08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600075</xdr:colOff>
      <xdr:row>35</xdr:row>
      <xdr:rowOff>6338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D5716B-0D35-471A-9F7A-18BD2839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23</xdr:row>
      <xdr:rowOff>105068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A27CA3-4B6E-408F-B237-E83FBD3C9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23</xdr:row>
      <xdr:rowOff>126533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BC6595-450F-4532-B17C-9FD27EC6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O77"/>
  <sheetViews>
    <sheetView tabSelected="1" topLeftCell="A79" zoomScale="55" zoomScaleNormal="55" workbookViewId="0">
      <selection activeCell="B39" sqref="B39"/>
    </sheetView>
  </sheetViews>
  <sheetFormatPr defaultRowHeight="15" x14ac:dyDescent="0.25"/>
  <cols>
    <col min="1" max="1" width="9.140625" style="1"/>
    <col min="2" max="2" width="33" style="1" bestFit="1" customWidth="1"/>
    <col min="3" max="3" width="34.285156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4" width="44.5703125" style="1" bestFit="1" customWidth="1"/>
    <col min="15" max="15" width="29" style="1" bestFit="1" customWidth="1"/>
    <col min="16" max="16384" width="9.140625" style="1"/>
  </cols>
  <sheetData>
    <row r="2" spans="2:15" ht="18.75" x14ac:dyDescent="0.25">
      <c r="B2" s="25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46</v>
      </c>
      <c r="N2" s="2" t="s">
        <v>47</v>
      </c>
      <c r="O2" s="2" t="s">
        <v>48</v>
      </c>
    </row>
    <row r="3" spans="2:15" ht="15.75" x14ac:dyDescent="0.25">
      <c r="B3" s="26"/>
      <c r="C3" s="20" t="s">
        <v>22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  <c r="M4" s="9">
        <f>1000*0.000556948827579618</f>
        <v>0.55694882757961806</v>
      </c>
      <c r="N4" s="9">
        <f>1000*0.000572139630094171</f>
        <v>0.57213963009417101</v>
      </c>
      <c r="O4" s="9">
        <f>1000*0.000350732821971178</f>
        <v>0.350732821971178</v>
      </c>
    </row>
    <row r="5" spans="2:15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  <c r="M5" s="10">
        <f>1000*0.00317416270263493</f>
        <v>3.1741627026349302</v>
      </c>
      <c r="N5" s="10">
        <f>1000*0.00380484666675329</f>
        <v>3.8048466667532899</v>
      </c>
      <c r="O5" s="10">
        <f>1000*0.000642283877823502</f>
        <v>0.64228387782350205</v>
      </c>
    </row>
    <row r="6" spans="2:15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  <c r="M6" s="10">
        <f>1000*0.000278797728242353</f>
        <v>0.27879772824235299</v>
      </c>
      <c r="N6" s="10">
        <f>1000*0.000247060845140368</f>
        <v>0.24706084514036802</v>
      </c>
      <c r="O6" s="10">
        <f>1000*0.00118907087016851</f>
        <v>1.18907087016851</v>
      </c>
    </row>
    <row r="7" spans="2:15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  <c r="K7" s="10">
        <f>1000*0.00875111389905214</f>
        <v>8.7511138990521395</v>
      </c>
      <c r="L7" s="10">
        <f>1000*0.00764576252549887</f>
        <v>7.6457625254988697</v>
      </c>
      <c r="M7" s="10">
        <f>1000*0.00957265589386225</f>
        <v>9.5726558938622492</v>
      </c>
      <c r="N7" s="10">
        <f>1000*0.00917526986449957</f>
        <v>9.1752698644995707</v>
      </c>
      <c r="O7" s="10">
        <f>1000*0.0152246076613665</f>
        <v>15.2246076613665</v>
      </c>
    </row>
    <row r="8" spans="2:15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  <c r="K8" s="10">
        <f>1000*0.00375264137983322</f>
        <v>3.7526413798332201</v>
      </c>
      <c r="L8" s="10">
        <f>1000*0.00310287787579</f>
        <v>3.10287787579</v>
      </c>
      <c r="M8" s="10">
        <f>1000*0.00381642347201705</f>
        <v>3.8164234720170498</v>
      </c>
      <c r="N8" s="10">
        <f>1000*0.00314232730306685</f>
        <v>3.1423273030668502</v>
      </c>
      <c r="O8" s="10">
        <f>1000*0.00972781330347061</f>
        <v>9.7278133034706098</v>
      </c>
    </row>
    <row r="9" spans="2:15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  <c r="K9" s="10">
        <f>1000*0.00104413053486496</f>
        <v>1.0441305348649599</v>
      </c>
      <c r="L9" s="10">
        <f>1000*0.000758039066568017</f>
        <v>0.75803906656801701</v>
      </c>
      <c r="M9" s="10">
        <f>1000*0.000888140755705535</f>
        <v>0.88814075570553497</v>
      </c>
      <c r="N9" s="10">
        <f>1000*0.00072020455263555</f>
        <v>0.72020455263554994</v>
      </c>
      <c r="O9" s="10">
        <f>1000*0.00138780823908746</f>
        <v>1.38780823908746</v>
      </c>
    </row>
    <row r="10" spans="2:15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  <c r="K10" s="10">
        <f>1000*6.84354336044635E-06</f>
        <v>6.8435433604463504E-3</v>
      </c>
      <c r="L10" s="10">
        <f>1000*5.97452208239702E-06</f>
        <v>5.9745220823970201E-3</v>
      </c>
      <c r="M10" s="10">
        <f>1000*4.53235816166853E-06</f>
        <v>4.5323581616685303E-3</v>
      </c>
      <c r="N10" s="10">
        <f>1000*2.47698403654795E-06</f>
        <v>2.4769840365479502E-3</v>
      </c>
      <c r="O10" s="10">
        <f>1000*0.000018733164324658</f>
        <v>1.8733164324657998E-2</v>
      </c>
    </row>
    <row r="11" spans="2:15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  <c r="K11" s="10">
        <f>1000*0.000789120444096625</f>
        <v>0.78912044409662496</v>
      </c>
      <c r="L11" s="10">
        <f>1000*0.000693372800014913</f>
        <v>0.69337280001491297</v>
      </c>
      <c r="M11" s="10">
        <f>1000*0.00085364980623126</f>
        <v>0.85364980623125997</v>
      </c>
      <c r="N11" s="10">
        <f>1000*0.000686214421875775</f>
        <v>0.68621442187577497</v>
      </c>
      <c r="O11" s="10">
        <f>1000*0.00190816610120237</f>
        <v>1.9081661012023701</v>
      </c>
    </row>
    <row r="12" spans="2:15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 t="shared" ref="I12:N12" si="1">SUM(I4:I11)</f>
        <v>14.415776398436726</v>
      </c>
      <c r="J12" s="11">
        <f t="shared" si="1"/>
        <v>16.979749971596899</v>
      </c>
      <c r="K12" s="11">
        <f t="shared" si="1"/>
        <v>17.50222856526306</v>
      </c>
      <c r="L12" s="11">
        <f t="shared" si="1"/>
        <v>15.291524789518014</v>
      </c>
      <c r="M12" s="11">
        <f t="shared" si="1"/>
        <v>19.145311544434662</v>
      </c>
      <c r="N12" s="11">
        <f t="shared" si="1"/>
        <v>18.350540268102122</v>
      </c>
      <c r="O12" s="11">
        <f>SUM(O4:O11)</f>
        <v>30.449216039414782</v>
      </c>
    </row>
    <row r="13" spans="2:15" ht="15.75" x14ac:dyDescent="0.25">
      <c r="B13" s="15"/>
      <c r="C13" s="20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  <c r="M14" s="9">
        <v>186</v>
      </c>
      <c r="N14" s="9">
        <v>188</v>
      </c>
      <c r="O14" s="9">
        <v>311</v>
      </c>
    </row>
    <row r="15" spans="2:15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  <c r="M15" s="10">
        <v>32</v>
      </c>
      <c r="N15" s="10">
        <v>32</v>
      </c>
      <c r="O15" s="10">
        <v>0</v>
      </c>
    </row>
    <row r="16" spans="2:15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  <c r="M16" s="10">
        <v>258</v>
      </c>
      <c r="N16" s="10">
        <v>376</v>
      </c>
      <c r="O16" s="10">
        <v>458</v>
      </c>
    </row>
    <row r="17" spans="2:15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</row>
    <row r="18" spans="2:15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  <c r="M18" s="10">
        <v>4</v>
      </c>
      <c r="N18" s="10">
        <v>4</v>
      </c>
      <c r="O18" s="10">
        <v>2</v>
      </c>
    </row>
    <row r="19" spans="2:15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  <c r="M19" s="10">
        <v>71</v>
      </c>
      <c r="N19" s="10">
        <v>71</v>
      </c>
      <c r="O19" s="10">
        <v>71</v>
      </c>
    </row>
    <row r="20" spans="2:15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</row>
    <row r="21" spans="2:15" ht="15.75" x14ac:dyDescent="0.25">
      <c r="B21" s="19"/>
      <c r="C21" s="20" t="s">
        <v>23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x14ac:dyDescent="0.25">
      <c r="B22" s="9" t="s">
        <v>34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  <c r="M22" s="9">
        <v>44</v>
      </c>
      <c r="N22" s="9">
        <v>53</v>
      </c>
      <c r="O22" s="9">
        <v>16</v>
      </c>
    </row>
    <row r="23" spans="2:15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  <c r="M23" s="10">
        <v>5</v>
      </c>
      <c r="N23" s="10">
        <v>4</v>
      </c>
      <c r="O23" s="10">
        <v>10</v>
      </c>
    </row>
    <row r="24" spans="2:15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  <c r="M24" s="10">
        <v>0.374</v>
      </c>
      <c r="N24" s="10">
        <v>0.45400000000000001</v>
      </c>
      <c r="O24" s="10">
        <v>4.2080000000000002</v>
      </c>
    </row>
    <row r="25" spans="2:15" x14ac:dyDescent="0.25">
      <c r="B25" s="6" t="s">
        <v>20</v>
      </c>
      <c r="C25" s="11">
        <f t="shared" ref="C25:J25" si="2">1000*1/(C23-C24)</f>
        <v>157.5795776867318</v>
      </c>
      <c r="D25" s="11">
        <f t="shared" si="2"/>
        <v>144.38348252959861</v>
      </c>
      <c r="E25" s="11">
        <f t="shared" si="2"/>
        <v>152.99877600979192</v>
      </c>
      <c r="F25" s="11">
        <f t="shared" si="2"/>
        <v>172.50301880282905</v>
      </c>
      <c r="G25" s="11">
        <f t="shared" si="2"/>
        <v>132.8374070138151</v>
      </c>
      <c r="H25" s="11">
        <f t="shared" si="2"/>
        <v>157.5795776867318</v>
      </c>
      <c r="I25" s="11">
        <f t="shared" si="2"/>
        <v>168.35016835016836</v>
      </c>
      <c r="J25" s="11">
        <f t="shared" si="2"/>
        <v>174.73353136466889</v>
      </c>
      <c r="K25" s="11">
        <f>1000*1/(K23-K24)</f>
        <v>176.3668430335097</v>
      </c>
      <c r="L25" s="11">
        <f>1000*1/(L23-L24)</f>
        <v>225.886604924328</v>
      </c>
      <c r="M25" s="11">
        <f>1000*1/(M23-M24)</f>
        <v>216.16947686986595</v>
      </c>
      <c r="N25" s="11">
        <f>1000*1/(N23-N24)</f>
        <v>282.0078962210942</v>
      </c>
      <c r="O25" s="11">
        <f>1000*1/(O23-O24)</f>
        <v>172.65193370165747</v>
      </c>
    </row>
    <row r="27" spans="2:15" ht="18.75" customHeight="1" x14ac:dyDescent="0.25"/>
    <row r="28" spans="2:15" ht="15.75" customHeight="1" x14ac:dyDescent="0.25">
      <c r="C28" s="23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  <c r="K28" s="2" t="s">
        <v>33</v>
      </c>
      <c r="L28" s="2" t="s">
        <v>35</v>
      </c>
      <c r="M28" s="2" t="s">
        <v>46</v>
      </c>
      <c r="N28" s="2" t="s">
        <v>47</v>
      </c>
      <c r="O28" s="2" t="s">
        <v>48</v>
      </c>
    </row>
    <row r="29" spans="2:15" ht="21" customHeight="1" x14ac:dyDescent="0.25">
      <c r="C29" s="24"/>
      <c r="D29" s="20" t="s">
        <v>22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</row>
    <row r="30" spans="2:15" x14ac:dyDescent="0.25">
      <c r="C30" s="17" t="s">
        <v>12</v>
      </c>
      <c r="D30" s="9">
        <f t="shared" ref="D30:D38" si="3">D4-C4</f>
        <v>-8.3739781985058992E-2</v>
      </c>
      <c r="E30" s="17">
        <f t="shared" ref="E30:E38" si="4">E4-C4</f>
        <v>-0.16162425163201899</v>
      </c>
      <c r="F30" s="17">
        <f t="shared" ref="F30:F38" si="5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17">
        <f>L4-C4</f>
        <v>0.19714332302101006</v>
      </c>
      <c r="M30" s="17">
        <f>M4-C4</f>
        <v>0.10272135841660307</v>
      </c>
      <c r="N30" s="17">
        <f>N4-C4</f>
        <v>0.11791216093115603</v>
      </c>
      <c r="O30" s="9">
        <f>O4-C4</f>
        <v>-0.10349464719183699</v>
      </c>
    </row>
    <row r="31" spans="2:15" x14ac:dyDescent="0.25">
      <c r="C31" s="16" t="s">
        <v>13</v>
      </c>
      <c r="D31" s="10">
        <f t="shared" si="3"/>
        <v>0.54130377247929995</v>
      </c>
      <c r="E31" s="16">
        <f t="shared" si="4"/>
        <v>-0.11654733680188989</v>
      </c>
      <c r="F31" s="16">
        <f t="shared" si="5"/>
        <v>-1.0308174969395629</v>
      </c>
      <c r="G31" s="16">
        <f t="shared" ref="G31:G38" si="6">G5-C5</f>
        <v>-0.82639753236435398</v>
      </c>
      <c r="H31" s="16">
        <f t="shared" ref="H31:H38" si="7">H5-C5</f>
        <v>2.2188760340013935E-4</v>
      </c>
      <c r="I31" s="16">
        <f t="shared" ref="I31:I38" si="8">I5-C5</f>
        <v>0.38547744043171006</v>
      </c>
      <c r="J31" s="16">
        <f t="shared" ref="J31:J38" si="9">J5-C5</f>
        <v>0.57483604177833025</v>
      </c>
      <c r="K31" s="16">
        <f t="shared" ref="K31:K38" si="10">K5-C5</f>
        <v>-0.42172183748334691</v>
      </c>
      <c r="L31" s="16">
        <f t="shared" ref="L31:L38" si="11">L5-C5</f>
        <v>-0.3303182893432679</v>
      </c>
      <c r="M31" s="16">
        <f t="shared" ref="M31:M38" si="12">M5-C5</f>
        <v>1.9586777780205002</v>
      </c>
      <c r="N31" s="16">
        <f t="shared" ref="N31:N38" si="13">N5-C5</f>
        <v>2.5893617421388599</v>
      </c>
      <c r="O31" s="10">
        <f t="shared" ref="O31:O38" si="14">O5-C5</f>
        <v>-0.57320104679092787</v>
      </c>
    </row>
    <row r="32" spans="2:15" x14ac:dyDescent="0.25">
      <c r="C32" s="16" t="s">
        <v>14</v>
      </c>
      <c r="D32" s="10">
        <f t="shared" si="3"/>
        <v>7.9664983786642996E-2</v>
      </c>
      <c r="E32" s="16">
        <f t="shared" si="4"/>
        <v>-1.3816927094011999E-2</v>
      </c>
      <c r="F32" s="16">
        <f t="shared" si="5"/>
        <v>0.77941740164533613</v>
      </c>
      <c r="G32" s="16">
        <f t="shared" si="6"/>
        <v>0.38482854142785106</v>
      </c>
      <c r="H32" s="16">
        <f t="shared" si="7"/>
        <v>8.5586216300730378E-3</v>
      </c>
      <c r="I32" s="16">
        <f t="shared" si="8"/>
        <v>-3.1216477509588003E-2</v>
      </c>
      <c r="J32" s="16">
        <f t="shared" si="9"/>
        <v>2.8614420443772992E-2</v>
      </c>
      <c r="K32" s="16">
        <f t="shared" si="10"/>
        <v>1.288426748942586</v>
      </c>
      <c r="L32" s="16">
        <f t="shared" si="11"/>
        <v>1.2139487662352662</v>
      </c>
      <c r="M32" s="16">
        <f t="shared" si="12"/>
        <v>-5.6214077631010995E-2</v>
      </c>
      <c r="N32" s="16">
        <f t="shared" si="13"/>
        <v>-8.7950960732995964E-2</v>
      </c>
      <c r="O32" s="10">
        <f t="shared" si="14"/>
        <v>0.854059064295146</v>
      </c>
    </row>
    <row r="33" spans="3:15" x14ac:dyDescent="0.25">
      <c r="C33" s="16" t="s">
        <v>15</v>
      </c>
      <c r="D33" s="10">
        <f t="shared" si="3"/>
        <v>3.5361633636057297</v>
      </c>
      <c r="E33" s="16">
        <f t="shared" si="4"/>
        <v>-1.7976877279579595</v>
      </c>
      <c r="F33" s="16">
        <f t="shared" si="5"/>
        <v>4.0419013239443311</v>
      </c>
      <c r="G33" s="16">
        <f t="shared" si="6"/>
        <v>9.6011073328554275</v>
      </c>
      <c r="H33" s="16">
        <f t="shared" si="7"/>
        <v>1.5851575881240088E-2</v>
      </c>
      <c r="I33" s="16">
        <f t="shared" si="8"/>
        <v>-0.29287720099090908</v>
      </c>
      <c r="J33" s="16">
        <f t="shared" si="9"/>
        <v>0.9891097433865097</v>
      </c>
      <c r="K33" s="16">
        <f t="shared" si="10"/>
        <v>1.2503485195338699</v>
      </c>
      <c r="L33" s="16">
        <f t="shared" si="11"/>
        <v>0.1449971459806001</v>
      </c>
      <c r="M33" s="16">
        <f t="shared" si="12"/>
        <v>2.0718905143439796</v>
      </c>
      <c r="N33" s="16">
        <f t="shared" si="13"/>
        <v>1.6745044849813011</v>
      </c>
      <c r="O33" s="10">
        <f t="shared" si="14"/>
        <v>7.7238422818482304</v>
      </c>
    </row>
    <row r="34" spans="3:15" x14ac:dyDescent="0.25">
      <c r="C34" s="16" t="s">
        <v>16</v>
      </c>
      <c r="D34" s="10">
        <f t="shared" si="3"/>
        <v>2.7074448298662896</v>
      </c>
      <c r="E34" s="16">
        <f t="shared" si="4"/>
        <v>-1.10574904829264</v>
      </c>
      <c r="F34" s="16">
        <f t="shared" si="5"/>
        <v>3.3394361380487703</v>
      </c>
      <c r="G34" s="16">
        <f t="shared" si="6"/>
        <v>7.0930600631982106</v>
      </c>
      <c r="H34" s="16">
        <f t="shared" si="7"/>
        <v>-5.0943344831502202E-3</v>
      </c>
      <c r="I34" s="16">
        <f t="shared" si="8"/>
        <v>-0.35495031625031981</v>
      </c>
      <c r="J34" s="16">
        <f t="shared" si="9"/>
        <v>0.22958056069909993</v>
      </c>
      <c r="K34" s="16">
        <f t="shared" si="10"/>
        <v>0.18870481289923013</v>
      </c>
      <c r="L34" s="16">
        <f t="shared" si="11"/>
        <v>-0.46105869114399001</v>
      </c>
      <c r="M34" s="16">
        <f t="shared" si="12"/>
        <v>0.25248690508305982</v>
      </c>
      <c r="N34" s="16">
        <f t="shared" si="13"/>
        <v>-0.42160926386713982</v>
      </c>
      <c r="O34" s="10">
        <f t="shared" si="14"/>
        <v>6.1638767365366203</v>
      </c>
    </row>
    <row r="35" spans="3:15" x14ac:dyDescent="0.25">
      <c r="C35" s="16" t="s">
        <v>17</v>
      </c>
      <c r="D35" s="10">
        <f t="shared" si="3"/>
        <v>-8.3225488197058994E-2</v>
      </c>
      <c r="E35" s="16">
        <f t="shared" si="4"/>
        <v>-0.33119227737188395</v>
      </c>
      <c r="F35" s="16">
        <f t="shared" si="5"/>
        <v>-0.47707988414913399</v>
      </c>
      <c r="G35" s="16">
        <f t="shared" si="6"/>
        <v>0.25513494620099497</v>
      </c>
      <c r="H35" s="16">
        <f t="shared" si="7"/>
        <v>3.9877486415210717E-3</v>
      </c>
      <c r="I35" s="16">
        <f t="shared" si="8"/>
        <v>-5.2686838898807986E-2</v>
      </c>
      <c r="J35" s="16">
        <f t="shared" si="9"/>
        <v>0.10664056753739504</v>
      </c>
      <c r="K35" s="16">
        <f t="shared" si="10"/>
        <v>0.12265000259503489</v>
      </c>
      <c r="L35" s="16">
        <f t="shared" si="11"/>
        <v>-0.16344146570190798</v>
      </c>
      <c r="M35" s="16">
        <f t="shared" si="12"/>
        <v>-3.3339776564390022E-2</v>
      </c>
      <c r="N35" s="16">
        <f t="shared" si="13"/>
        <v>-0.20127597963437505</v>
      </c>
      <c r="O35" s="10">
        <f t="shared" si="14"/>
        <v>0.46632770681753499</v>
      </c>
    </row>
    <row r="36" spans="3:15" x14ac:dyDescent="0.25">
      <c r="C36" s="16" t="s">
        <v>18</v>
      </c>
      <c r="D36" s="10">
        <f t="shared" si="3"/>
        <v>-2.1769233171652991E-4</v>
      </c>
      <c r="E36" s="16">
        <f t="shared" si="4"/>
        <v>5.9535227592278023E-4</v>
      </c>
      <c r="F36" s="16">
        <f t="shared" si="5"/>
        <v>4.7620662826375389E-3</v>
      </c>
      <c r="G36" s="16">
        <f t="shared" si="6"/>
        <v>7.6245289619692388E-3</v>
      </c>
      <c r="H36" s="16">
        <f t="shared" si="7"/>
        <v>-6.7266228143120135E-5</v>
      </c>
      <c r="I36" s="16">
        <f t="shared" si="8"/>
        <v>-1.0231815390174953E-8</v>
      </c>
      <c r="J36" s="16">
        <f t="shared" si="9"/>
        <v>-1.7858678802440018E-4</v>
      </c>
      <c r="K36" s="16">
        <f t="shared" si="10"/>
        <v>3.2784471386548904E-3</v>
      </c>
      <c r="L36" s="16">
        <f t="shared" si="11"/>
        <v>2.4094258606055601E-3</v>
      </c>
      <c r="M36" s="16">
        <f t="shared" si="12"/>
        <v>9.6726193987707034E-4</v>
      </c>
      <c r="N36" s="16">
        <f t="shared" si="13"/>
        <v>-1.0881121852435098E-3</v>
      </c>
      <c r="O36" s="10">
        <f t="shared" si="14"/>
        <v>1.5168068102866538E-2</v>
      </c>
    </row>
    <row r="37" spans="3:15" x14ac:dyDescent="0.25">
      <c r="C37" s="16" t="s">
        <v>19</v>
      </c>
      <c r="D37" s="10">
        <f t="shared" si="3"/>
        <v>0.37493102718144988</v>
      </c>
      <c r="E37" s="16">
        <f t="shared" si="4"/>
        <v>-6.9353962317110995E-2</v>
      </c>
      <c r="F37" s="16">
        <f t="shared" si="5"/>
        <v>-0.36357564385980501</v>
      </c>
      <c r="G37" s="16">
        <f t="shared" si="6"/>
        <v>0.22349122446030001</v>
      </c>
      <c r="H37" s="16">
        <f t="shared" si="7"/>
        <v>7.4359122663698596E-3</v>
      </c>
      <c r="I37" s="16">
        <f t="shared" si="8"/>
        <v>-0.15615939628332998</v>
      </c>
      <c r="J37" s="16">
        <f t="shared" si="9"/>
        <v>7.1378075517710027E-2</v>
      </c>
      <c r="K37" s="16">
        <f t="shared" si="10"/>
        <v>-0.21793914493173505</v>
      </c>
      <c r="L37" s="16">
        <f t="shared" si="11"/>
        <v>-0.31368678901344704</v>
      </c>
      <c r="M37" s="16">
        <f t="shared" si="12"/>
        <v>-0.15340978279710005</v>
      </c>
      <c r="N37" s="16">
        <f t="shared" si="13"/>
        <v>-0.32084516715258504</v>
      </c>
      <c r="O37" s="10">
        <f t="shared" si="14"/>
        <v>0.90110651217401005</v>
      </c>
    </row>
    <row r="38" spans="3:15" x14ac:dyDescent="0.25">
      <c r="C38" s="6" t="s">
        <v>21</v>
      </c>
      <c r="D38" s="11">
        <f t="shared" si="3"/>
        <v>7.0723250144055765</v>
      </c>
      <c r="E38" s="6">
        <f t="shared" si="4"/>
        <v>-3.5953761791915912</v>
      </c>
      <c r="F38" s="6">
        <f t="shared" si="5"/>
        <v>5.9768569728930796</v>
      </c>
      <c r="G38" s="6">
        <f t="shared" si="6"/>
        <v>16.578565724785179</v>
      </c>
      <c r="H38" s="6">
        <f t="shared" si="7"/>
        <v>3.1702620617567234E-2</v>
      </c>
      <c r="I38" s="6">
        <f t="shared" si="8"/>
        <v>-0.58575496518641934</v>
      </c>
      <c r="J38" s="6">
        <f t="shared" si="9"/>
        <v>1.9782186079737532</v>
      </c>
      <c r="K38" s="6">
        <f t="shared" si="10"/>
        <v>2.5006972016399143</v>
      </c>
      <c r="L38" s="6">
        <f t="shared" si="11"/>
        <v>0.28999342589486865</v>
      </c>
      <c r="M38" s="6">
        <f t="shared" si="12"/>
        <v>4.1437801808115164</v>
      </c>
      <c r="N38" s="6">
        <f t="shared" si="13"/>
        <v>3.3490089044789766</v>
      </c>
      <c r="O38" s="11">
        <f t="shared" si="14"/>
        <v>15.447684675791637</v>
      </c>
    </row>
    <row r="39" spans="3:15" ht="15.75" x14ac:dyDescent="0.25">
      <c r="C39" s="12"/>
      <c r="D39" s="20" t="s">
        <v>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2"/>
    </row>
    <row r="40" spans="3:15" x14ac:dyDescent="0.25">
      <c r="C40" s="17" t="s">
        <v>6</v>
      </c>
      <c r="D40" s="9">
        <f t="shared" ref="D40:D46" si="15">D14-C14</f>
        <v>-5</v>
      </c>
      <c r="E40" s="17">
        <f t="shared" ref="E40:E46" si="16">E14-C14</f>
        <v>-117</v>
      </c>
      <c r="F40" s="17">
        <f t="shared" ref="F40:F46" si="17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17">
        <f>L14-C14</f>
        <v>-89</v>
      </c>
      <c r="M40" s="17">
        <f>M14-C14</f>
        <v>-89</v>
      </c>
      <c r="N40" s="17">
        <f>N14-C14</f>
        <v>-87</v>
      </c>
      <c r="O40" s="9">
        <f>O14-C14</f>
        <v>36</v>
      </c>
    </row>
    <row r="41" spans="3:15" x14ac:dyDescent="0.25">
      <c r="C41" s="16" t="s">
        <v>7</v>
      </c>
      <c r="D41" s="10">
        <f t="shared" si="15"/>
        <v>0</v>
      </c>
      <c r="E41" s="16">
        <f t="shared" si="16"/>
        <v>0</v>
      </c>
      <c r="F41" s="16">
        <f t="shared" si="17"/>
        <v>-32</v>
      </c>
      <c r="G41" s="16">
        <f t="shared" ref="G41:G46" si="18">G15-C15</f>
        <v>-32</v>
      </c>
      <c r="H41" s="16">
        <f t="shared" ref="H41:H46" si="19">H15-C15</f>
        <v>0</v>
      </c>
      <c r="I41" s="16">
        <f t="shared" ref="I41:I46" si="20">I15-C15</f>
        <v>0</v>
      </c>
      <c r="J41" s="16">
        <f t="shared" ref="J41:J46" si="21">J15-C15</f>
        <v>0</v>
      </c>
      <c r="K41" s="16">
        <f t="shared" ref="K41:K46" si="22">K15-C15</f>
        <v>0</v>
      </c>
      <c r="L41" s="16">
        <f t="shared" ref="L41:L46" si="23">L15-C15</f>
        <v>0</v>
      </c>
      <c r="M41" s="16">
        <f t="shared" ref="M41:M46" si="24">M15-C15</f>
        <v>0</v>
      </c>
      <c r="N41" s="16">
        <f t="shared" ref="N41:N46" si="25">N15-C15</f>
        <v>0</v>
      </c>
      <c r="O41" s="10">
        <f t="shared" ref="O41:O46" si="26">O15-C15</f>
        <v>-32</v>
      </c>
    </row>
    <row r="42" spans="3:15" x14ac:dyDescent="0.25">
      <c r="C42" s="16" t="s">
        <v>8</v>
      </c>
      <c r="D42" s="10">
        <f t="shared" si="15"/>
        <v>-26</v>
      </c>
      <c r="E42" s="16">
        <f t="shared" si="16"/>
        <v>-54</v>
      </c>
      <c r="F42" s="16">
        <f t="shared" si="17"/>
        <v>-38</v>
      </c>
      <c r="G42" s="16">
        <f t="shared" si="18"/>
        <v>194</v>
      </c>
      <c r="H42" s="16">
        <f t="shared" si="19"/>
        <v>0</v>
      </c>
      <c r="I42" s="16">
        <f t="shared" si="20"/>
        <v>66</v>
      </c>
      <c r="J42" s="16">
        <f t="shared" si="21"/>
        <v>66</v>
      </c>
      <c r="K42" s="16">
        <f t="shared" si="22"/>
        <v>62</v>
      </c>
      <c r="L42" s="16">
        <f t="shared" si="23"/>
        <v>81</v>
      </c>
      <c r="M42" s="16">
        <f t="shared" si="24"/>
        <v>98</v>
      </c>
      <c r="N42" s="16">
        <f t="shared" si="25"/>
        <v>216</v>
      </c>
      <c r="O42" s="10">
        <f t="shared" si="26"/>
        <v>298</v>
      </c>
    </row>
    <row r="43" spans="3:15" x14ac:dyDescent="0.25">
      <c r="C43" s="16" t="s">
        <v>29</v>
      </c>
      <c r="D43" s="10">
        <f t="shared" si="15"/>
        <v>0</v>
      </c>
      <c r="E43" s="16">
        <f t="shared" si="16"/>
        <v>0</v>
      </c>
      <c r="F43" s="16">
        <f t="shared" si="17"/>
        <v>1</v>
      </c>
      <c r="G43" s="16">
        <f t="shared" si="18"/>
        <v>1</v>
      </c>
      <c r="H43" s="16">
        <f t="shared" si="19"/>
        <v>0</v>
      </c>
      <c r="I43" s="16">
        <f t="shared" si="20"/>
        <v>0</v>
      </c>
      <c r="J43" s="16">
        <f t="shared" si="21"/>
        <v>0</v>
      </c>
      <c r="K43" s="16">
        <f t="shared" si="22"/>
        <v>0</v>
      </c>
      <c r="L43" s="16">
        <f t="shared" si="23"/>
        <v>0</v>
      </c>
      <c r="M43" s="16">
        <f t="shared" si="24"/>
        <v>0</v>
      </c>
      <c r="N43" s="16">
        <f t="shared" si="25"/>
        <v>0</v>
      </c>
      <c r="O43" s="10">
        <f t="shared" si="26"/>
        <v>0</v>
      </c>
    </row>
    <row r="44" spans="3:15" x14ac:dyDescent="0.25">
      <c r="C44" s="16" t="s">
        <v>9</v>
      </c>
      <c r="D44" s="10">
        <f t="shared" si="15"/>
        <v>0</v>
      </c>
      <c r="E44" s="16">
        <f t="shared" si="16"/>
        <v>0</v>
      </c>
      <c r="F44" s="16">
        <f t="shared" si="17"/>
        <v>2</v>
      </c>
      <c r="G44" s="16">
        <f t="shared" si="18"/>
        <v>2</v>
      </c>
      <c r="H44" s="16">
        <f t="shared" si="19"/>
        <v>0</v>
      </c>
      <c r="I44" s="16">
        <f t="shared" si="20"/>
        <v>0</v>
      </c>
      <c r="J44" s="16">
        <f t="shared" si="21"/>
        <v>0</v>
      </c>
      <c r="K44" s="16">
        <f t="shared" si="22"/>
        <v>2</v>
      </c>
      <c r="L44" s="16">
        <f t="shared" si="23"/>
        <v>2</v>
      </c>
      <c r="M44" s="16">
        <f t="shared" si="24"/>
        <v>2</v>
      </c>
      <c r="N44" s="16">
        <f t="shared" si="25"/>
        <v>2</v>
      </c>
      <c r="O44" s="10">
        <f t="shared" si="26"/>
        <v>0</v>
      </c>
    </row>
    <row r="45" spans="3:15" x14ac:dyDescent="0.25">
      <c r="C45" s="16" t="s">
        <v>10</v>
      </c>
      <c r="D45" s="10">
        <f t="shared" si="15"/>
        <v>0</v>
      </c>
      <c r="E45" s="16">
        <f t="shared" si="16"/>
        <v>0</v>
      </c>
      <c r="F45" s="16">
        <f t="shared" si="17"/>
        <v>0</v>
      </c>
      <c r="G45" s="16">
        <f t="shared" si="18"/>
        <v>0</v>
      </c>
      <c r="H45" s="16">
        <f t="shared" si="19"/>
        <v>0</v>
      </c>
      <c r="I45" s="16">
        <f t="shared" si="20"/>
        <v>0</v>
      </c>
      <c r="J45" s="16">
        <f t="shared" si="21"/>
        <v>0</v>
      </c>
      <c r="K45" s="16">
        <f t="shared" si="22"/>
        <v>0</v>
      </c>
      <c r="L45" s="16">
        <f t="shared" si="23"/>
        <v>0</v>
      </c>
      <c r="M45" s="16">
        <f t="shared" si="24"/>
        <v>0</v>
      </c>
      <c r="N45" s="16">
        <f t="shared" si="25"/>
        <v>0</v>
      </c>
      <c r="O45" s="10">
        <f t="shared" si="26"/>
        <v>0</v>
      </c>
    </row>
    <row r="46" spans="3:15" x14ac:dyDescent="0.25">
      <c r="C46" s="6" t="s">
        <v>11</v>
      </c>
      <c r="D46" s="11">
        <f t="shared" si="15"/>
        <v>0</v>
      </c>
      <c r="E46" s="6">
        <f t="shared" si="16"/>
        <v>0</v>
      </c>
      <c r="F46" s="6">
        <f t="shared" si="17"/>
        <v>0</v>
      </c>
      <c r="G46" s="6">
        <f t="shared" si="18"/>
        <v>0</v>
      </c>
      <c r="H46" s="6">
        <f t="shared" si="19"/>
        <v>0</v>
      </c>
      <c r="I46" s="6">
        <f t="shared" si="20"/>
        <v>0</v>
      </c>
      <c r="J46" s="6">
        <f t="shared" si="21"/>
        <v>0</v>
      </c>
      <c r="K46" s="6">
        <f t="shared" si="22"/>
        <v>0</v>
      </c>
      <c r="L46" s="6">
        <f t="shared" si="23"/>
        <v>0</v>
      </c>
      <c r="M46" s="6">
        <f t="shared" si="24"/>
        <v>0</v>
      </c>
      <c r="N46" s="6">
        <f t="shared" si="25"/>
        <v>0</v>
      </c>
      <c r="O46" s="11">
        <f t="shared" si="26"/>
        <v>0</v>
      </c>
    </row>
    <row r="47" spans="3:15" ht="15.75" x14ac:dyDescent="0.25">
      <c r="C47" s="18"/>
      <c r="D47" s="20" t="s">
        <v>23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2"/>
    </row>
    <row r="48" spans="3:15" x14ac:dyDescent="0.25">
      <c r="C48" s="17" t="s">
        <v>34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17">
        <f>L22-C22</f>
        <v>9</v>
      </c>
      <c r="M48" s="17">
        <f>M22-C22</f>
        <v>0</v>
      </c>
      <c r="N48" s="17">
        <f>N22-C22</f>
        <v>9</v>
      </c>
      <c r="O48" s="9">
        <f>O22-C22</f>
        <v>-28</v>
      </c>
    </row>
    <row r="49" spans="3:15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1">
        <f>K23-C23</f>
        <v>-3</v>
      </c>
      <c r="L49" s="16">
        <f t="shared" ref="L49:L51" si="27">L23-C23</f>
        <v>-4</v>
      </c>
      <c r="M49" s="16">
        <f t="shared" ref="M49:M51" si="28">M23-C23</f>
        <v>-5</v>
      </c>
      <c r="N49" s="16">
        <f t="shared" ref="N49:N51" si="29">N23-C23</f>
        <v>-6</v>
      </c>
      <c r="O49" s="10">
        <f t="shared" ref="O49:O51" si="30">O23-C23</f>
        <v>0</v>
      </c>
    </row>
    <row r="50" spans="3:15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1">
        <f>K24-C24</f>
        <v>-2.3239999999999998</v>
      </c>
      <c r="L50" s="16">
        <f t="shared" si="27"/>
        <v>-2.081</v>
      </c>
      <c r="M50" s="16">
        <f t="shared" si="28"/>
        <v>-3.28</v>
      </c>
      <c r="N50" s="16">
        <f t="shared" si="29"/>
        <v>-3.1999999999999997</v>
      </c>
      <c r="O50" s="10">
        <f>O24-C24</f>
        <v>0.55400000000000027</v>
      </c>
    </row>
    <row r="51" spans="3:15" x14ac:dyDescent="0.25">
      <c r="C51" s="6" t="s">
        <v>20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6">
        <f t="shared" si="27"/>
        <v>68.307027237596202</v>
      </c>
      <c r="M51" s="6">
        <f t="shared" si="28"/>
        <v>58.58989918313415</v>
      </c>
      <c r="N51" s="6">
        <f t="shared" si="29"/>
        <v>124.4283185343624</v>
      </c>
      <c r="O51" s="11">
        <f t="shared" si="30"/>
        <v>15.072356014925674</v>
      </c>
    </row>
    <row r="54" spans="3:15" ht="18.75" x14ac:dyDescent="0.25">
      <c r="C54" s="23" t="s">
        <v>45</v>
      </c>
      <c r="D54" s="2" t="s">
        <v>2</v>
      </c>
      <c r="E54" s="2" t="s">
        <v>1</v>
      </c>
      <c r="F54" s="2" t="s">
        <v>27</v>
      </c>
      <c r="G54" s="2" t="s">
        <v>28</v>
      </c>
      <c r="H54" s="2" t="s">
        <v>30</v>
      </c>
      <c r="I54" s="2" t="s">
        <v>31</v>
      </c>
      <c r="J54" s="2" t="s">
        <v>32</v>
      </c>
      <c r="K54" s="2" t="s">
        <v>33</v>
      </c>
      <c r="L54" s="2" t="s">
        <v>35</v>
      </c>
      <c r="M54" s="2" t="s">
        <v>46</v>
      </c>
      <c r="N54" s="2" t="s">
        <v>47</v>
      </c>
      <c r="O54" s="2" t="s">
        <v>48</v>
      </c>
    </row>
    <row r="55" spans="3:15" ht="15.75" x14ac:dyDescent="0.25">
      <c r="C55" s="24"/>
      <c r="D55" s="20" t="s">
        <v>22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3:15" x14ac:dyDescent="0.25">
      <c r="C56" s="17" t="s">
        <v>36</v>
      </c>
      <c r="D56" s="9">
        <f>((D4-$C4)/$C4)*100</f>
        <v>-18.435649023904833</v>
      </c>
      <c r="E56" s="9">
        <f t="shared" ref="E56:L56" si="31">((E4-$C4)/$C4)*100</f>
        <v>-35.582227541156172</v>
      </c>
      <c r="F56" s="9">
        <f t="shared" si="31"/>
        <v>-69.829975862965838</v>
      </c>
      <c r="G56" s="9">
        <f t="shared" si="31"/>
        <v>-35.287029261036132</v>
      </c>
      <c r="H56" s="9">
        <f t="shared" si="31"/>
        <v>0.17798908281521064</v>
      </c>
      <c r="I56" s="9">
        <f t="shared" si="31"/>
        <v>-18.348112148948175</v>
      </c>
      <c r="J56" s="9">
        <f t="shared" si="31"/>
        <v>-4.7910388689480357</v>
      </c>
      <c r="K56" s="9">
        <f t="shared" si="31"/>
        <v>63.173117529499592</v>
      </c>
      <c r="L56" s="9">
        <f t="shared" si="31"/>
        <v>43.401893633662759</v>
      </c>
      <c r="M56" s="9">
        <f t="shared" ref="M56:N56" si="32">((M4-$C4)/$C4)*100</f>
        <v>22.614519242062396</v>
      </c>
      <c r="N56" s="9">
        <f t="shared" si="32"/>
        <v>25.958835371279417</v>
      </c>
      <c r="O56" s="9">
        <f t="shared" ref="O56" si="33">((O4-$C4)/$C4)*100</f>
        <v>-22.784761868880814</v>
      </c>
    </row>
    <row r="57" spans="3:15" x14ac:dyDescent="0.25">
      <c r="C57" s="16" t="s">
        <v>37</v>
      </c>
      <c r="D57" s="10">
        <f t="shared" ref="D57:D64" si="34">((D5-$C5)/$C5)*100</f>
        <v>44.533976647304748</v>
      </c>
      <c r="E57" s="10">
        <f t="shared" ref="E57:L57" si="35">((E5-$C5)/$C5)*100</f>
        <v>-9.5885464674817307</v>
      </c>
      <c r="F57" s="10">
        <f t="shared" si="35"/>
        <v>-84.807098472780623</v>
      </c>
      <c r="G57" s="10">
        <f t="shared" si="35"/>
        <v>-67.989122335392153</v>
      </c>
      <c r="H57" s="10">
        <f t="shared" si="35"/>
        <v>1.8255068319380879E-2</v>
      </c>
      <c r="I57" s="10">
        <f t="shared" si="35"/>
        <v>31.713880824477464</v>
      </c>
      <c r="J57" s="10">
        <f t="shared" si="35"/>
        <v>47.292733141933198</v>
      </c>
      <c r="K57" s="10">
        <f t="shared" si="35"/>
        <v>-34.695768655224043</v>
      </c>
      <c r="L57" s="10">
        <f t="shared" si="35"/>
        <v>-27.175844196344091</v>
      </c>
      <c r="M57" s="10">
        <f t="shared" ref="M57:N57" si="36">((M5-$C5)/$C5)*100</f>
        <v>161.14373270748891</v>
      </c>
      <c r="N57" s="10">
        <f t="shared" si="36"/>
        <v>213.03116885306039</v>
      </c>
      <c r="O57" s="10">
        <f t="shared" ref="O57" si="37">((O5-$C5)/$C5)*100</f>
        <v>-47.158219339722038</v>
      </c>
    </row>
    <row r="58" spans="3:15" x14ac:dyDescent="0.25">
      <c r="C58" s="16" t="s">
        <v>38</v>
      </c>
      <c r="D58" s="10">
        <f t="shared" si="34"/>
        <v>23.779754142979883</v>
      </c>
      <c r="E58" s="10">
        <f t="shared" ref="E58:L58" si="38">((E6-$C6)/$C6)*100</f>
        <v>-4.1243105024289388</v>
      </c>
      <c r="F58" s="10">
        <f t="shared" si="38"/>
        <v>232.65371189335323</v>
      </c>
      <c r="G58" s="10">
        <f t="shared" si="38"/>
        <v>114.87014328483636</v>
      </c>
      <c r="H58" s="10">
        <f t="shared" si="38"/>
        <v>2.5547223948603879</v>
      </c>
      <c r="I58" s="10">
        <f t="shared" si="38"/>
        <v>-9.318023115098212</v>
      </c>
      <c r="J58" s="10">
        <f t="shared" si="38"/>
        <v>8.5413170348358936</v>
      </c>
      <c r="K58" s="10">
        <f t="shared" si="38"/>
        <v>384.59144613835406</v>
      </c>
      <c r="L58" s="10">
        <f t="shared" si="38"/>
        <v>362.35999596209587</v>
      </c>
      <c r="M58" s="10">
        <f t="shared" ref="M58:N58" si="39">((M6-$C6)/$C6)*100</f>
        <v>-16.779730339491429</v>
      </c>
      <c r="N58" s="10">
        <f t="shared" si="39"/>
        <v>-26.253092933161238</v>
      </c>
      <c r="O58" s="10">
        <f t="shared" ref="O58" si="40">((O6-$C6)/$C6)*100</f>
        <v>254.93402003211321</v>
      </c>
    </row>
    <row r="59" spans="3:15" x14ac:dyDescent="0.25">
      <c r="C59" s="16" t="s">
        <v>39</v>
      </c>
      <c r="D59" s="10">
        <f t="shared" si="34"/>
        <v>47.144033771028802</v>
      </c>
      <c r="E59" s="10">
        <f t="shared" ref="E59:L59" si="41">((E7-$C7)/$C7)*100</f>
        <v>-23.966723887494993</v>
      </c>
      <c r="F59" s="10">
        <f t="shared" si="41"/>
        <v>53.886518500914882</v>
      </c>
      <c r="G59" s="10">
        <f t="shared" si="41"/>
        <v>128.00170178729215</v>
      </c>
      <c r="H59" s="10">
        <f t="shared" si="41"/>
        <v>0.2113327784458463</v>
      </c>
      <c r="I59" s="10">
        <f t="shared" si="41"/>
        <v>-3.9046308766122064</v>
      </c>
      <c r="J59" s="10">
        <f t="shared" si="41"/>
        <v>13.186784192549087</v>
      </c>
      <c r="K59" s="10">
        <f t="shared" si="41"/>
        <v>16.669612449792055</v>
      </c>
      <c r="L59" s="10">
        <f t="shared" si="41"/>
        <v>1.933098005925262</v>
      </c>
      <c r="M59" s="10">
        <f t="shared" ref="M59:N59" si="42">((M7-$C7)/$C7)*100</f>
        <v>27.622387976585998</v>
      </c>
      <c r="N59" s="10">
        <f t="shared" si="42"/>
        <v>22.324448243025095</v>
      </c>
      <c r="O59" s="10">
        <f t="shared" ref="O59" si="43">((O7-$C7)/$C7)*100</f>
        <v>102.97405519360862</v>
      </c>
    </row>
    <row r="60" spans="3:15" x14ac:dyDescent="0.25">
      <c r="C60" s="16" t="s">
        <v>40</v>
      </c>
      <c r="D60" s="10">
        <f t="shared" si="34"/>
        <v>75.96781758086874</v>
      </c>
      <c r="E60" s="10">
        <f t="shared" ref="E60:L60" si="44">((E8-$C8)/$C8)*100</f>
        <v>-31.026058615961897</v>
      </c>
      <c r="F60" s="10">
        <f t="shared" si="44"/>
        <v>93.700773718361802</v>
      </c>
      <c r="G60" s="10">
        <f t="shared" si="44"/>
        <v>199.02318489636534</v>
      </c>
      <c r="H60" s="10">
        <f t="shared" si="44"/>
        <v>-0.14294122208613866</v>
      </c>
      <c r="I60" s="10">
        <f t="shared" si="44"/>
        <v>-9.9595015114334409</v>
      </c>
      <c r="J60" s="10">
        <f t="shared" si="44"/>
        <v>6.441768993004418</v>
      </c>
      <c r="K60" s="10">
        <f t="shared" si="44"/>
        <v>5.2948420757547465</v>
      </c>
      <c r="L60" s="10">
        <f t="shared" si="44"/>
        <v>-12.936781631347413</v>
      </c>
      <c r="M60" s="10">
        <f t="shared" ref="M60:N60" si="45">((M8-$C8)/$C8)*100</f>
        <v>7.0844949213075115</v>
      </c>
      <c r="N60" s="10">
        <f t="shared" si="45"/>
        <v>-11.829875643096672</v>
      </c>
      <c r="O60" s="10">
        <f t="shared" ref="O60" si="46">((O8-$C8)/$C8)*100</f>
        <v>172.95135928413356</v>
      </c>
    </row>
    <row r="61" spans="3:15" x14ac:dyDescent="0.25">
      <c r="C61" s="16" t="s">
        <v>41</v>
      </c>
      <c r="D61" s="10">
        <f t="shared" si="34"/>
        <v>-9.0317142123497565</v>
      </c>
      <c r="E61" s="10">
        <f t="shared" ref="E61:L61" si="47">((E9-$C9)/$C9)*100</f>
        <v>-35.941321142839868</v>
      </c>
      <c r="F61" s="10">
        <f t="shared" si="47"/>
        <v>-51.773191884360415</v>
      </c>
      <c r="G61" s="10">
        <f t="shared" si="47"/>
        <v>27.687502585921099</v>
      </c>
      <c r="H61" s="10">
        <f t="shared" si="47"/>
        <v>0.43275451861124714</v>
      </c>
      <c r="I61" s="10">
        <f t="shared" si="47"/>
        <v>-5.7176290820840343</v>
      </c>
      <c r="J61" s="10">
        <f t="shared" si="47"/>
        <v>11.572742320958476</v>
      </c>
      <c r="K61" s="10">
        <f t="shared" si="47"/>
        <v>13.31010241669518</v>
      </c>
      <c r="L61" s="10">
        <f t="shared" si="47"/>
        <v>-17.736833278430218</v>
      </c>
      <c r="M61" s="10">
        <f t="shared" ref="M61:N61" si="48">((M9-$C9)/$C9)*100</f>
        <v>-3.6180662962311998</v>
      </c>
      <c r="N61" s="10">
        <f t="shared" si="48"/>
        <v>-21.842673023006004</v>
      </c>
      <c r="O61" s="10">
        <f t="shared" ref="O61" si="49">((O9-$C9)/$C9)*100</f>
        <v>50.606354717967697</v>
      </c>
    </row>
    <row r="62" spans="3:15" x14ac:dyDescent="0.25">
      <c r="C62" s="16" t="s">
        <v>42</v>
      </c>
      <c r="D62" s="10">
        <f t="shared" si="34"/>
        <v>-6.1062119553996101</v>
      </c>
      <c r="E62" s="10">
        <f t="shared" ref="E62:L62" si="50">((E10-$C10)/$C10)*100</f>
        <v>16.699472858087848</v>
      </c>
      <c r="F62" s="10">
        <f t="shared" si="50"/>
        <v>133.57469157577469</v>
      </c>
      <c r="G62" s="10">
        <f t="shared" si="50"/>
        <v>213.86600774937611</v>
      </c>
      <c r="H62" s="10">
        <f t="shared" si="50"/>
        <v>-1.8867997932835279</v>
      </c>
      <c r="I62" s="10">
        <f t="shared" si="50"/>
        <v>-2.8699969800628463E-4</v>
      </c>
      <c r="J62" s="10">
        <f t="shared" si="50"/>
        <v>-5.0093118646503276</v>
      </c>
      <c r="K62" s="10">
        <f t="shared" si="50"/>
        <v>91.95956952341308</v>
      </c>
      <c r="L62" s="10">
        <f t="shared" si="50"/>
        <v>67.583754005798596</v>
      </c>
      <c r="M62" s="10">
        <f t="shared" ref="M62:N62" si="51">((M10-$C10)/$C10)*100</f>
        <v>27.13143993042133</v>
      </c>
      <c r="N62" s="10">
        <f t="shared" si="51"/>
        <v>-30.521257142864261</v>
      </c>
      <c r="O62" s="10">
        <f t="shared" ref="O62" si="52">((O10-$C10)/$C10)*100</f>
        <v>425.46027257700734</v>
      </c>
    </row>
    <row r="63" spans="3:15" x14ac:dyDescent="0.25">
      <c r="C63" s="16" t="s">
        <v>43</v>
      </c>
      <c r="D63" s="10">
        <f t="shared" si="34"/>
        <v>37.230272296319036</v>
      </c>
      <c r="E63" s="10">
        <f t="shared" ref="E63:L63" si="53">((E11-$C11)/$C11)*100</f>
        <v>-6.8867784064323034</v>
      </c>
      <c r="F63" s="10">
        <f t="shared" si="53"/>
        <v>-36.10269420209714</v>
      </c>
      <c r="G63" s="10">
        <f t="shared" si="53"/>
        <v>22.192452849382104</v>
      </c>
      <c r="H63" s="10">
        <f t="shared" si="53"/>
        <v>0.73837857733366508</v>
      </c>
      <c r="I63" s="10">
        <f t="shared" si="53"/>
        <v>-15.506470320589177</v>
      </c>
      <c r="J63" s="10">
        <f t="shared" si="53"/>
        <v>7.087770802776193</v>
      </c>
      <c r="K63" s="10">
        <f t="shared" si="53"/>
        <v>-21.641136960128545</v>
      </c>
      <c r="L63" s="10">
        <f t="shared" si="53"/>
        <v>-31.148781306585942</v>
      </c>
      <c r="M63" s="10">
        <f t="shared" ref="M63:N63" si="54">((M11-$C11)/$C11)*100</f>
        <v>-15.23343647868089</v>
      </c>
      <c r="N63" s="10">
        <f t="shared" si="54"/>
        <v>-31.859601025411582</v>
      </c>
      <c r="O63" s="10">
        <f t="shared" ref="O63" si="55">((O11-$C11)/$C11)*100</f>
        <v>89.478966487318147</v>
      </c>
    </row>
    <row r="64" spans="3:15" x14ac:dyDescent="0.25">
      <c r="C64" s="6" t="s">
        <v>44</v>
      </c>
      <c r="D64" s="11">
        <f t="shared" si="34"/>
        <v>47.144020453505753</v>
      </c>
      <c r="E64" s="11">
        <f t="shared" ref="E64:L64" si="56">((E12-$C12)/$C12)*100</f>
        <v>-23.966727742941849</v>
      </c>
      <c r="F64" s="11">
        <f t="shared" si="56"/>
        <v>39.841645682828201</v>
      </c>
      <c r="G64" s="11">
        <f t="shared" si="56"/>
        <v>110.51248917817915</v>
      </c>
      <c r="H64" s="11">
        <f t="shared" si="56"/>
        <v>0.21132922932416195</v>
      </c>
      <c r="I64" s="11">
        <f t="shared" si="56"/>
        <v>-3.9046344735631631</v>
      </c>
      <c r="J64" s="11">
        <f t="shared" si="56"/>
        <v>13.186777803036081</v>
      </c>
      <c r="K64" s="11">
        <f t="shared" si="56"/>
        <v>16.669612861682875</v>
      </c>
      <c r="L64" s="11">
        <f t="shared" si="56"/>
        <v>1.9330921548320512</v>
      </c>
      <c r="M64" s="11">
        <f t="shared" ref="M64:N64" si="57">((M12-$C12)/$C12)*100</f>
        <v>27.622381211425317</v>
      </c>
      <c r="N64" s="11">
        <f t="shared" si="57"/>
        <v>22.324446906799849</v>
      </c>
      <c r="O64" s="11">
        <f t="shared" ref="O64" si="58">((O12-$C12)/$C12)*100</f>
        <v>102.97405179080823</v>
      </c>
    </row>
    <row r="65" spans="3:15" ht="15.75" x14ac:dyDescent="0.25">
      <c r="C65" s="12"/>
      <c r="D65" s="20" t="s">
        <v>3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3:15" x14ac:dyDescent="0.25">
      <c r="C66" s="17" t="s">
        <v>6</v>
      </c>
      <c r="D66" s="9">
        <f>((D14-$C14)/$C14)*100</f>
        <v>-1.8181818181818181</v>
      </c>
      <c r="E66" s="9">
        <f t="shared" ref="E66:K66" si="59">((E14-$C14)/$C14)*100</f>
        <v>-42.545454545454547</v>
      </c>
      <c r="F66" s="9">
        <f t="shared" si="59"/>
        <v>-21.09090909090909</v>
      </c>
      <c r="G66" s="9">
        <f t="shared" si="59"/>
        <v>64.363636363636374</v>
      </c>
      <c r="H66" s="9">
        <f t="shared" si="59"/>
        <v>0</v>
      </c>
      <c r="I66" s="9">
        <f t="shared" si="59"/>
        <v>0.36363636363636365</v>
      </c>
      <c r="J66" s="9">
        <f t="shared" si="59"/>
        <v>0.36363636363636365</v>
      </c>
      <c r="K66" s="9">
        <f t="shared" si="59"/>
        <v>-32.36363636363636</v>
      </c>
      <c r="L66" s="9">
        <f>((L14-$C14)/$C14)*100</f>
        <v>-32.36363636363636</v>
      </c>
      <c r="M66" s="9">
        <f>((M14-$C14)/$C14)*100</f>
        <v>-32.36363636363636</v>
      </c>
      <c r="N66" s="9">
        <f>((N14-$C14)/$C14)*100</f>
        <v>-31.636363636363633</v>
      </c>
      <c r="O66" s="9">
        <f>((O14-$C14)/$C14)*100</f>
        <v>13.090909090909092</v>
      </c>
    </row>
    <row r="67" spans="3:15" x14ac:dyDescent="0.25">
      <c r="C67" s="16" t="s">
        <v>7</v>
      </c>
      <c r="D67" s="10">
        <f t="shared" ref="D67:K72" si="60">((D15-$C15)/$C15)*100</f>
        <v>0</v>
      </c>
      <c r="E67" s="10">
        <f t="shared" si="60"/>
        <v>0</v>
      </c>
      <c r="F67" s="10">
        <f t="shared" si="60"/>
        <v>-100</v>
      </c>
      <c r="G67" s="10">
        <f t="shared" si="60"/>
        <v>-100</v>
      </c>
      <c r="H67" s="10">
        <f t="shared" si="60"/>
        <v>0</v>
      </c>
      <c r="I67" s="10">
        <f t="shared" si="60"/>
        <v>0</v>
      </c>
      <c r="J67" s="10">
        <f t="shared" si="60"/>
        <v>0</v>
      </c>
      <c r="K67" s="10">
        <f t="shared" si="60"/>
        <v>0</v>
      </c>
      <c r="L67" s="10">
        <f t="shared" ref="L67:M67" si="61">((L15-$C15)/$C15)*100</f>
        <v>0</v>
      </c>
      <c r="M67" s="10">
        <f t="shared" si="61"/>
        <v>0</v>
      </c>
      <c r="N67" s="10">
        <f t="shared" ref="N67:O67" si="62">((N15-$C15)/$C15)*100</f>
        <v>0</v>
      </c>
      <c r="O67" s="10">
        <f t="shared" si="62"/>
        <v>-100</v>
      </c>
    </row>
    <row r="68" spans="3:15" x14ac:dyDescent="0.25">
      <c r="C68" s="16" t="s">
        <v>8</v>
      </c>
      <c r="D68" s="10">
        <f t="shared" si="60"/>
        <v>-16.25</v>
      </c>
      <c r="E68" s="10">
        <f t="shared" si="60"/>
        <v>-33.75</v>
      </c>
      <c r="F68" s="10">
        <f t="shared" si="60"/>
        <v>-23.75</v>
      </c>
      <c r="G68" s="10">
        <f t="shared" si="60"/>
        <v>121.24999999999999</v>
      </c>
      <c r="H68" s="10">
        <f t="shared" si="60"/>
        <v>0</v>
      </c>
      <c r="I68" s="10">
        <f t="shared" si="60"/>
        <v>41.25</v>
      </c>
      <c r="J68" s="10">
        <f t="shared" si="60"/>
        <v>41.25</v>
      </c>
      <c r="K68" s="10">
        <f t="shared" si="60"/>
        <v>38.75</v>
      </c>
      <c r="L68" s="10">
        <f t="shared" ref="L68:M68" si="63">((L16-$C16)/$C16)*100</f>
        <v>50.625</v>
      </c>
      <c r="M68" s="10">
        <f t="shared" si="63"/>
        <v>61.250000000000007</v>
      </c>
      <c r="N68" s="10">
        <f t="shared" ref="N68:O68" si="64">((N16-$C16)/$C16)*100</f>
        <v>135</v>
      </c>
      <c r="O68" s="10">
        <f t="shared" si="64"/>
        <v>186.25</v>
      </c>
    </row>
    <row r="69" spans="3:15" x14ac:dyDescent="0.25">
      <c r="C69" s="16" t="s">
        <v>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</row>
    <row r="70" spans="3:15" x14ac:dyDescent="0.25">
      <c r="C70" s="16" t="s">
        <v>9</v>
      </c>
      <c r="D70" s="10">
        <f t="shared" si="60"/>
        <v>0</v>
      </c>
      <c r="E70" s="10">
        <f t="shared" si="60"/>
        <v>0</v>
      </c>
      <c r="F70" s="10">
        <f t="shared" si="60"/>
        <v>100</v>
      </c>
      <c r="G70" s="10">
        <f t="shared" si="60"/>
        <v>100</v>
      </c>
      <c r="H70" s="10">
        <f t="shared" si="60"/>
        <v>0</v>
      </c>
      <c r="I70" s="10">
        <f t="shared" si="60"/>
        <v>0</v>
      </c>
      <c r="J70" s="10">
        <f t="shared" si="60"/>
        <v>0</v>
      </c>
      <c r="K70" s="10">
        <f t="shared" si="60"/>
        <v>100</v>
      </c>
      <c r="L70" s="10">
        <f t="shared" ref="L70:M70" si="65">((L18-$C18)/$C18)*100</f>
        <v>100</v>
      </c>
      <c r="M70" s="10">
        <f t="shared" si="65"/>
        <v>100</v>
      </c>
      <c r="N70" s="10">
        <f t="shared" ref="N70:O70" si="66">((N18-$C18)/$C18)*100</f>
        <v>100</v>
      </c>
      <c r="O70" s="10">
        <f t="shared" si="66"/>
        <v>0</v>
      </c>
    </row>
    <row r="71" spans="3:15" x14ac:dyDescent="0.25">
      <c r="C71" s="16" t="s">
        <v>10</v>
      </c>
      <c r="D71" s="10">
        <f t="shared" si="60"/>
        <v>0</v>
      </c>
      <c r="E71" s="10">
        <f t="shared" si="60"/>
        <v>0</v>
      </c>
      <c r="F71" s="10">
        <f t="shared" si="60"/>
        <v>0</v>
      </c>
      <c r="G71" s="10">
        <f t="shared" si="60"/>
        <v>0</v>
      </c>
      <c r="H71" s="10">
        <f t="shared" si="60"/>
        <v>0</v>
      </c>
      <c r="I71" s="10">
        <f t="shared" si="60"/>
        <v>0</v>
      </c>
      <c r="J71" s="10">
        <f t="shared" si="60"/>
        <v>0</v>
      </c>
      <c r="K71" s="10">
        <f t="shared" si="60"/>
        <v>0</v>
      </c>
      <c r="L71" s="10">
        <f t="shared" ref="L71:M71" si="67">((L19-$C19)/$C19)*100</f>
        <v>0</v>
      </c>
      <c r="M71" s="10">
        <f t="shared" si="67"/>
        <v>0</v>
      </c>
      <c r="N71" s="10">
        <f t="shared" ref="N71:O71" si="68">((N19-$C19)/$C19)*100</f>
        <v>0</v>
      </c>
      <c r="O71" s="10">
        <f t="shared" si="68"/>
        <v>0</v>
      </c>
    </row>
    <row r="72" spans="3:15" x14ac:dyDescent="0.25">
      <c r="C72" s="6" t="s">
        <v>11</v>
      </c>
      <c r="D72" s="11">
        <f t="shared" si="60"/>
        <v>0</v>
      </c>
      <c r="E72" s="11">
        <f t="shared" si="60"/>
        <v>0</v>
      </c>
      <c r="F72" s="11">
        <f t="shared" si="60"/>
        <v>0</v>
      </c>
      <c r="G72" s="11">
        <f t="shared" si="60"/>
        <v>0</v>
      </c>
      <c r="H72" s="11">
        <f t="shared" si="60"/>
        <v>0</v>
      </c>
      <c r="I72" s="11">
        <f t="shared" si="60"/>
        <v>0</v>
      </c>
      <c r="J72" s="11">
        <f t="shared" si="60"/>
        <v>0</v>
      </c>
      <c r="K72" s="11">
        <f t="shared" si="60"/>
        <v>0</v>
      </c>
      <c r="L72" s="11">
        <f t="shared" ref="L72:M72" si="69">((L20-$C20)/$C20)*100</f>
        <v>0</v>
      </c>
      <c r="M72" s="11">
        <f t="shared" si="69"/>
        <v>0</v>
      </c>
      <c r="N72" s="11">
        <f t="shared" ref="N72:O72" si="70">((N20-$C20)/$C20)*100</f>
        <v>0</v>
      </c>
      <c r="O72" s="11">
        <f t="shared" si="70"/>
        <v>0</v>
      </c>
    </row>
    <row r="73" spans="3:15" ht="15.75" x14ac:dyDescent="0.25">
      <c r="C73" s="18"/>
      <c r="D73" s="20" t="s">
        <v>23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3:15" x14ac:dyDescent="0.25">
      <c r="C74" s="17" t="s">
        <v>34</v>
      </c>
      <c r="D74" s="9">
        <f>((D22-$C22)/$C22)*100</f>
        <v>-2.2727272727272729</v>
      </c>
      <c r="E74" s="9">
        <f t="shared" ref="E74:L74" si="71">((E22-$C22)/$C22)*100</f>
        <v>52.272727272727273</v>
      </c>
      <c r="F74" s="9">
        <f t="shared" si="71"/>
        <v>-20.454545454545457</v>
      </c>
      <c r="G74" s="9">
        <f t="shared" si="71"/>
        <v>-43.18181818181818</v>
      </c>
      <c r="H74" s="9">
        <f t="shared" si="71"/>
        <v>0</v>
      </c>
      <c r="I74" s="9">
        <f t="shared" si="71"/>
        <v>13.636363636363635</v>
      </c>
      <c r="J74" s="9">
        <f t="shared" si="71"/>
        <v>0</v>
      </c>
      <c r="K74" s="9">
        <f t="shared" si="71"/>
        <v>6.8181818181818175</v>
      </c>
      <c r="L74" s="9">
        <f t="shared" si="71"/>
        <v>20.454545454545457</v>
      </c>
      <c r="M74" s="9">
        <f t="shared" ref="M74:N74" si="72">((M22-$C22)/$C22)*100</f>
        <v>0</v>
      </c>
      <c r="N74" s="9">
        <f t="shared" si="72"/>
        <v>20.454545454545457</v>
      </c>
      <c r="O74" s="9">
        <f t="shared" ref="O74" si="73">((O22-$C22)/$C22)*100</f>
        <v>-63.636363636363633</v>
      </c>
    </row>
    <row r="75" spans="3:15" x14ac:dyDescent="0.25">
      <c r="C75" s="16" t="s">
        <v>5</v>
      </c>
      <c r="D75" s="10">
        <f t="shared" ref="D75:L77" si="74">((D23-$C23)/$C23)*100</f>
        <v>0</v>
      </c>
      <c r="E75" s="10">
        <f t="shared" si="74"/>
        <v>0</v>
      </c>
      <c r="F75" s="10">
        <f t="shared" si="74"/>
        <v>0</v>
      </c>
      <c r="G75" s="10">
        <f t="shared" si="74"/>
        <v>0</v>
      </c>
      <c r="H75" s="10">
        <f t="shared" si="74"/>
        <v>0</v>
      </c>
      <c r="I75" s="10">
        <f t="shared" si="74"/>
        <v>-10</v>
      </c>
      <c r="J75" s="10">
        <f t="shared" si="74"/>
        <v>-20</v>
      </c>
      <c r="K75" s="10">
        <f t="shared" si="74"/>
        <v>-30</v>
      </c>
      <c r="L75" s="10">
        <f t="shared" si="74"/>
        <v>-40</v>
      </c>
      <c r="M75" s="10">
        <f t="shared" ref="M75:N75" si="75">((M23-$C23)/$C23)*100</f>
        <v>-50</v>
      </c>
      <c r="N75" s="10">
        <f t="shared" si="75"/>
        <v>-60</v>
      </c>
      <c r="O75" s="10">
        <f t="shared" ref="O75" si="76">((O23-$C23)/$C23)*100</f>
        <v>0</v>
      </c>
    </row>
    <row r="76" spans="3:15" x14ac:dyDescent="0.25">
      <c r="C76" s="16" t="s">
        <v>4</v>
      </c>
      <c r="D76" s="10">
        <f t="shared" si="74"/>
        <v>-15.873015873015875</v>
      </c>
      <c r="E76" s="10">
        <f t="shared" si="74"/>
        <v>-5.1997810618500262</v>
      </c>
      <c r="F76" s="10">
        <f t="shared" si="74"/>
        <v>15.024630541871931</v>
      </c>
      <c r="G76" s="10">
        <f t="shared" si="74"/>
        <v>-32.348111658456489</v>
      </c>
      <c r="H76" s="10">
        <f t="shared" si="74"/>
        <v>0</v>
      </c>
      <c r="I76" s="10">
        <f t="shared" si="74"/>
        <v>-16.256157635467979</v>
      </c>
      <c r="J76" s="10">
        <f t="shared" si="74"/>
        <v>-37.684729064039402</v>
      </c>
      <c r="K76" s="10">
        <f t="shared" si="74"/>
        <v>-63.601532567049802</v>
      </c>
      <c r="L76" s="10">
        <f t="shared" si="74"/>
        <v>-56.951286261631083</v>
      </c>
      <c r="M76" s="10">
        <f t="shared" ref="M76:N76" si="77">((M24-$C24)/$C24)*100</f>
        <v>-89.764641488779418</v>
      </c>
      <c r="N76" s="10">
        <f t="shared" si="77"/>
        <v>-87.575259989053095</v>
      </c>
      <c r="O76" s="10">
        <f t="shared" ref="O76" si="78">((O24-$C24)/$C24)*100</f>
        <v>15.161466885604824</v>
      </c>
    </row>
    <row r="77" spans="3:15" x14ac:dyDescent="0.25">
      <c r="C77" s="6" t="s">
        <v>20</v>
      </c>
      <c r="D77" s="11">
        <f t="shared" si="74"/>
        <v>-8.3742419867167204</v>
      </c>
      <c r="E77" s="11">
        <f t="shared" si="74"/>
        <v>-2.9069767441860419</v>
      </c>
      <c r="F77" s="11">
        <f t="shared" si="74"/>
        <v>9.4704157322753151</v>
      </c>
      <c r="G77" s="11">
        <f t="shared" si="74"/>
        <v>-15.701381509032938</v>
      </c>
      <c r="H77" s="11">
        <f t="shared" si="74"/>
        <v>0</v>
      </c>
      <c r="I77" s="11">
        <f t="shared" si="74"/>
        <v>6.8350168350168437</v>
      </c>
      <c r="J77" s="11">
        <f t="shared" si="74"/>
        <v>10.885899004018881</v>
      </c>
      <c r="K77" s="11">
        <f t="shared" si="74"/>
        <v>11.922398589065256</v>
      </c>
      <c r="L77" s="11">
        <f t="shared" si="74"/>
        <v>43.347639484978551</v>
      </c>
      <c r="M77" s="11">
        <f t="shared" ref="M77:N77" si="79">((M25-$C25)/$C25)*100</f>
        <v>37.181150021616929</v>
      </c>
      <c r="N77" s="11">
        <f t="shared" si="79"/>
        <v>78.962210941906392</v>
      </c>
      <c r="O77" s="11">
        <f t="shared" ref="O77" si="80">((O25-$C25)/$C25)*100</f>
        <v>9.5649171270718334</v>
      </c>
    </row>
  </sheetData>
  <mergeCells count="12">
    <mergeCell ref="D73:O73"/>
    <mergeCell ref="B2:B3"/>
    <mergeCell ref="C54:C55"/>
    <mergeCell ref="D47:O47"/>
    <mergeCell ref="D55:O55"/>
    <mergeCell ref="D65:O65"/>
    <mergeCell ref="C3:O3"/>
    <mergeCell ref="C13:O13"/>
    <mergeCell ref="C21:O21"/>
    <mergeCell ref="D29:O29"/>
    <mergeCell ref="D39:O39"/>
    <mergeCell ref="C28:C29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6679-3EAC-4546-ABD6-59A296B5226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CC6-9E5D-4D26-8D3F-4FD2017DA7D8}">
  <dimension ref="A1"/>
  <sheetViews>
    <sheetView zoomScaleNormal="100" workbookViewId="0">
      <selection activeCell="AI53" sqref="AI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A2D5-79C8-4A90-A30B-CB5C7400A553}">
  <dimension ref="A1"/>
  <sheetViews>
    <sheetView workbookViewId="0">
      <selection activeCell="Z2" sqref="Z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D9B-2CD3-4C27-9A96-B1073F7F3160}">
  <dimension ref="A1"/>
  <sheetViews>
    <sheetView workbookViewId="0">
      <selection activeCell="P34" sqref="P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A31-2557-4E8A-A281-543C63ED671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646F-D126-4699-A710-1FB5DCA10CE4}">
  <dimension ref="A1"/>
  <sheetViews>
    <sheetView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36D4-3568-4699-9034-07FE864B7C79}">
  <dimension ref="A1"/>
  <sheetViews>
    <sheetView workbookViewId="0">
      <selection activeCell="Y36" sqref="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Cycles (Values)</vt:lpstr>
      <vt:lpstr>Dynamic Power Analysis (Values)</vt:lpstr>
      <vt:lpstr>Dynamic Power Analysis (Abs.E.)</vt:lpstr>
      <vt:lpstr>Dynamic Power Analysis (Per.V.)</vt:lpstr>
      <vt:lpstr>Utilization Analysis (Values)</vt:lpstr>
      <vt:lpstr>Utilization Analysis (Abs.E.)</vt:lpstr>
      <vt:lpstr>Utilization Analysis (Per.V.)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2024-05-05T15:00:08Z</dcterms:modified>
</cp:coreProperties>
</file>