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sco D\universita\magistrale\sintesi-ad-alto-livello-di-sistemi-digitali\progetti\progetto1\reports\vivado\"/>
    </mc:Choice>
  </mc:AlternateContent>
  <xr:revisionPtr revIDLastSave="0" documentId="13_ncr:1_{42B8A357-34B1-4695-A502-127B8737C444}" xr6:coauthVersionLast="47" xr6:coauthVersionMax="47" xr10:uidLastSave="{00000000-0000-0000-0000-000000000000}"/>
  <bookViews>
    <workbookView xWindow="-120" yWindow="-120" windowWidth="29040" windowHeight="15720" xr2:uid="{E7BCC947-1515-412E-876B-4510C27535DC}"/>
  </bookViews>
  <sheets>
    <sheet name="Foglio1" sheetId="1" r:id="rId1"/>
  </sheets>
  <externalReferences>
    <externalReference r:id="rId2"/>
  </externalReferences>
  <definedNames>
    <definedName name="_xlchart.v1.0" hidden="1">Foglio1!$S$34</definedName>
    <definedName name="_xlchart.v1.1" hidden="1">Foglio1!$B$29</definedName>
    <definedName name="_xlchart.v1.10" hidden="1">Foglio1!$C$27:$E$27</definedName>
    <definedName name="_xlchart.v1.11" hidden="1">Foglio1!$C$29:$E$29</definedName>
    <definedName name="_xlchart.v1.12" hidden="1">Foglio1!$D$27:$E$27</definedName>
    <definedName name="_xlchart.v1.13" hidden="1">Foglio1!$D$29:$E$29</definedName>
    <definedName name="_xlchart.v1.14" hidden="1">Foglio1!$D$30:$E$30</definedName>
    <definedName name="_xlchart.v1.15" hidden="1">Foglio1!$D$31:$E$31</definedName>
    <definedName name="_xlchart.v1.16" hidden="1">Foglio1!$D$32:$E$32</definedName>
    <definedName name="_xlchart.v1.17" hidden="1">Foglio1!$D$33:$E$33</definedName>
    <definedName name="_xlchart.v1.18" hidden="1">Foglio1!$D$34:$E$34</definedName>
    <definedName name="_xlchart.v1.19" hidden="1">Foglio1!$D$35:$E$35</definedName>
    <definedName name="_xlchart.v1.2" hidden="1">Foglio1!$B$30</definedName>
    <definedName name="_xlchart.v1.20" hidden="1">Foglio1!$D$36:$E$36</definedName>
    <definedName name="_xlchart.v1.21" hidden="1">Foglio1!$D$37:$E$37</definedName>
    <definedName name="_xlchart.v1.22" hidden="1">Foglio1!$S$34</definedName>
    <definedName name="_xlchart.v1.23" hidden="1">Foglio1!$B$29</definedName>
    <definedName name="_xlchart.v1.24" hidden="1">Foglio1!$B$30</definedName>
    <definedName name="_xlchart.v1.25" hidden="1">Foglio1!$B$31</definedName>
    <definedName name="_xlchart.v1.26" hidden="1">Foglio1!$B$32</definedName>
    <definedName name="_xlchart.v1.27" hidden="1">Foglio1!$B$33</definedName>
    <definedName name="_xlchart.v1.28" hidden="1">Foglio1!$B$34</definedName>
    <definedName name="_xlchart.v1.29" hidden="1">Foglio1!$B$35</definedName>
    <definedName name="_xlchart.v1.3" hidden="1">Foglio1!$B$31</definedName>
    <definedName name="_xlchart.v1.30" hidden="1">Foglio1!$B$36</definedName>
    <definedName name="_xlchart.v1.31" hidden="1">Foglio1!$B$37</definedName>
    <definedName name="_xlchart.v1.32" hidden="1">Foglio1!$C$27:$E$27</definedName>
    <definedName name="_xlchart.v1.33" hidden="1">Foglio1!$C$29:$E$29</definedName>
    <definedName name="_xlchart.v1.34" hidden="1">Foglio1!$D$27:$E$27</definedName>
    <definedName name="_xlchart.v1.35" hidden="1">Foglio1!$D$29:$E$29</definedName>
    <definedName name="_xlchart.v1.36" hidden="1">Foglio1!$D$30:$E$30</definedName>
    <definedName name="_xlchart.v1.37" hidden="1">Foglio1!$D$31:$E$31</definedName>
    <definedName name="_xlchart.v1.38" hidden="1">Foglio1!$D$32:$E$32</definedName>
    <definedName name="_xlchart.v1.39" hidden="1">Foglio1!$D$33:$E$33</definedName>
    <definedName name="_xlchart.v1.4" hidden="1">Foglio1!$B$32</definedName>
    <definedName name="_xlchart.v1.40" hidden="1">Foglio1!$D$34:$E$34</definedName>
    <definedName name="_xlchart.v1.41" hidden="1">Foglio1!$D$35:$E$35</definedName>
    <definedName name="_xlchart.v1.42" hidden="1">Foglio1!$D$36:$E$36</definedName>
    <definedName name="_xlchart.v1.43" hidden="1">Foglio1!$D$37:$E$37</definedName>
    <definedName name="_xlchart.v1.44" hidden="1">Foglio1!$S$34</definedName>
    <definedName name="_xlchart.v1.5" hidden="1">Foglio1!$B$33</definedName>
    <definedName name="_xlchart.v1.6" hidden="1">Foglio1!$B$34</definedName>
    <definedName name="_xlchart.v1.7" hidden="1">Foglio1!$B$35</definedName>
    <definedName name="_xlchart.v1.8" hidden="1">Foglio1!$B$36</definedName>
    <definedName name="_xlchart.v1.9" hidden="1">Foglio1!$B$37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47" i="1"/>
  <c r="E46" i="1"/>
  <c r="D48" i="1"/>
  <c r="D47" i="1"/>
  <c r="D46" i="1"/>
  <c r="E44" i="1"/>
  <c r="E43" i="1"/>
  <c r="E42" i="1"/>
  <c r="E41" i="1"/>
  <c r="E40" i="1"/>
  <c r="E39" i="1"/>
  <c r="D44" i="1"/>
  <c r="D43" i="1"/>
  <c r="D42" i="1"/>
  <c r="D41" i="1"/>
  <c r="D40" i="1"/>
  <c r="D39" i="1"/>
  <c r="E36" i="1"/>
  <c r="E35" i="1"/>
  <c r="E34" i="1"/>
  <c r="E33" i="1"/>
  <c r="E32" i="1"/>
  <c r="E31" i="1"/>
  <c r="E30" i="1"/>
  <c r="E29" i="1"/>
  <c r="D36" i="1"/>
  <c r="D35" i="1"/>
  <c r="D34" i="1"/>
  <c r="D33" i="1"/>
  <c r="D32" i="1"/>
  <c r="D31" i="1"/>
  <c r="D30" i="1"/>
  <c r="D29" i="1"/>
  <c r="C48" i="1"/>
  <c r="C36" i="1"/>
  <c r="C35" i="1"/>
  <c r="C34" i="1"/>
  <c r="C33" i="1"/>
  <c r="C32" i="1"/>
  <c r="C31" i="1"/>
  <c r="C30" i="1"/>
  <c r="C29" i="1"/>
  <c r="D37" i="1" l="1"/>
  <c r="E37" i="1"/>
  <c r="C37" i="1"/>
  <c r="E23" i="1" l="1"/>
  <c r="E11" i="1"/>
  <c r="E10" i="1"/>
  <c r="E9" i="1"/>
  <c r="E8" i="1"/>
  <c r="E7" i="1"/>
  <c r="E6" i="1"/>
  <c r="E5" i="1"/>
  <c r="E4" i="1"/>
  <c r="D11" i="1"/>
  <c r="D10" i="1"/>
  <c r="D9" i="1"/>
  <c r="D8" i="1"/>
  <c r="D7" i="1"/>
  <c r="D6" i="1"/>
  <c r="D5" i="1"/>
  <c r="D4" i="1"/>
  <c r="D23" i="1"/>
  <c r="C11" i="1"/>
  <c r="C10" i="1"/>
  <c r="C9" i="1"/>
  <c r="C8" i="1"/>
  <c r="C7" i="1"/>
  <c r="C6" i="1"/>
  <c r="C5" i="1"/>
  <c r="C4" i="1"/>
  <c r="C23" i="1"/>
  <c r="E12" i="1" l="1"/>
  <c r="D12" i="1"/>
  <c r="C12" i="1"/>
</calcChain>
</file>

<file path=xl/sharedStrings.xml><?xml version="1.0" encoding="utf-8"?>
<sst xmlns="http://schemas.openxmlformats.org/spreadsheetml/2006/main" count="50" uniqueCount="26">
  <si>
    <t>Unoptimized Solution</t>
  </si>
  <si>
    <t>Loop Fission Solution</t>
  </si>
  <si>
    <t>Code Hoisting Solution</t>
  </si>
  <si>
    <t>Utilization Analysis</t>
  </si>
  <si>
    <t>WNS [ns]</t>
  </si>
  <si>
    <t>Clock Constraint [ns]</t>
  </si>
  <si>
    <t>LUT [#]</t>
  </si>
  <si>
    <t>LUTRAM [#]</t>
  </si>
  <si>
    <t>FF [#]</t>
  </si>
  <si>
    <t>DSP [#]</t>
  </si>
  <si>
    <t>IO [#]</t>
  </si>
  <si>
    <t>BUFG [#]</t>
  </si>
  <si>
    <t>Clock Enable [mW]</t>
  </si>
  <si>
    <t>Clocks [mW]</t>
  </si>
  <si>
    <t>DSP [mW]</t>
  </si>
  <si>
    <t>Hierarchical [mW]</t>
  </si>
  <si>
    <t>I/O [mW]</t>
  </si>
  <si>
    <t>Logic [mW]</t>
  </si>
  <si>
    <t>Set/Reset [mW]</t>
  </si>
  <si>
    <t>Data [mW]</t>
  </si>
  <si>
    <t>Maximum Clock Frequency [MHz]</t>
  </si>
  <si>
    <t>Total [mW]</t>
  </si>
  <si>
    <t>Dynamic Power Analysis</t>
  </si>
  <si>
    <t>Timing and Frequency Analysis</t>
  </si>
  <si>
    <t>ABSOLUTE ERROR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</si>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</sst>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1" fontId="0" fillId="0" borderId="4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Power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Foglio1!$B$4</c:f>
              <c:strCache>
                <c:ptCount val="1"/>
                <c:pt idx="0">
                  <c:v>Clock Enable [mW]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Foglio1!$C$4:$E$4</c:f>
              <c:numCache>
                <c:formatCode>General</c:formatCode>
                <c:ptCount val="3"/>
                <c:pt idx="0">
                  <c:v>0.45422746916301499</c:v>
                </c:pt>
                <c:pt idx="1">
                  <c:v>0.37048768717795599</c:v>
                </c:pt>
                <c:pt idx="2">
                  <c:v>0.292603217530996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2-429A-B9F7-CB06BAC637E4}"/>
            </c:ext>
          </c:extLst>
        </c:ser>
        <c:ser>
          <c:idx val="1"/>
          <c:order val="1"/>
          <c:tx>
            <c:strRef>
              <c:f>Foglio1!$B$5</c:f>
              <c:strCache>
                <c:ptCount val="1"/>
                <c:pt idx="0">
                  <c:v>Clocks [mW]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Foglio1!$C$5:$E$5</c:f>
              <c:numCache>
                <c:formatCode>General</c:formatCode>
                <c:ptCount val="3"/>
                <c:pt idx="0">
                  <c:v>1.2154849246144299</c:v>
                </c:pt>
                <c:pt idx="1">
                  <c:v>1.7567886970937299</c:v>
                </c:pt>
                <c:pt idx="2">
                  <c:v>1.09893758781254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2-429A-B9F7-CB06BAC637E4}"/>
            </c:ext>
          </c:extLst>
        </c:ser>
        <c:ser>
          <c:idx val="2"/>
          <c:order val="2"/>
          <c:tx>
            <c:strRef>
              <c:f>Foglio1!$B$6</c:f>
              <c:strCache>
                <c:ptCount val="1"/>
                <c:pt idx="0">
                  <c:v>DSP [mW]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Foglio1!$C$6:$E$6</c:f>
              <c:numCache>
                <c:formatCode>General</c:formatCode>
                <c:ptCount val="3"/>
                <c:pt idx="0">
                  <c:v>0.33501180587336399</c:v>
                </c:pt>
                <c:pt idx="1">
                  <c:v>0.41467678966000698</c:v>
                </c:pt>
                <c:pt idx="2">
                  <c:v>0.32119487877935199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42-429A-B9F7-CB06BAC637E4}"/>
            </c:ext>
          </c:extLst>
        </c:ser>
        <c:ser>
          <c:idx val="3"/>
          <c:order val="3"/>
          <c:tx>
            <c:strRef>
              <c:f>Foglio1!$B$7</c:f>
              <c:strCache>
                <c:ptCount val="1"/>
                <c:pt idx="0">
                  <c:v>Hierarchical [mW]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Foglio1!$C$7:$E$7</c:f>
              <c:numCache>
                <c:formatCode>General</c:formatCode>
                <c:ptCount val="3"/>
                <c:pt idx="0">
                  <c:v>7.5007653795182696</c:v>
                </c:pt>
                <c:pt idx="1">
                  <c:v>11.036928743123999</c:v>
                </c:pt>
                <c:pt idx="2">
                  <c:v>5.7030776515603101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42-429A-B9F7-CB06BAC637E4}"/>
            </c:ext>
          </c:extLst>
        </c:ser>
        <c:ser>
          <c:idx val="4"/>
          <c:order val="4"/>
          <c:tx>
            <c:strRef>
              <c:f>Foglio1!$B$8</c:f>
              <c:strCache>
                <c:ptCount val="1"/>
                <c:pt idx="0">
                  <c:v>I/O [mW]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Foglio1!$C$8:$E$8</c:f>
              <c:numCache>
                <c:formatCode>General</c:formatCode>
                <c:ptCount val="3"/>
                <c:pt idx="0">
                  <c:v>3.56393656693399</c:v>
                </c:pt>
                <c:pt idx="1">
                  <c:v>6.2713813968002796</c:v>
                </c:pt>
                <c:pt idx="2">
                  <c:v>2.45818751864135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42-429A-B9F7-CB06BAC637E4}"/>
            </c:ext>
          </c:extLst>
        </c:ser>
        <c:ser>
          <c:idx val="5"/>
          <c:order val="5"/>
          <c:tx>
            <c:strRef>
              <c:f>Foglio1!$B$9</c:f>
              <c:strCache>
                <c:ptCount val="1"/>
                <c:pt idx="0">
                  <c:v>Logic [mW]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Foglio1!$C$9:$E$9</c:f>
              <c:numCache>
                <c:formatCode>General</c:formatCode>
                <c:ptCount val="3"/>
                <c:pt idx="0">
                  <c:v>0.92148053226992499</c:v>
                </c:pt>
                <c:pt idx="1">
                  <c:v>0.838255044072866</c:v>
                </c:pt>
                <c:pt idx="2">
                  <c:v>0.59028825489804104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42-429A-B9F7-CB06BAC637E4}"/>
            </c:ext>
          </c:extLst>
        </c:ser>
        <c:ser>
          <c:idx val="6"/>
          <c:order val="6"/>
          <c:tx>
            <c:strRef>
              <c:f>Foglio1!$B$10</c:f>
              <c:strCache>
                <c:ptCount val="1"/>
                <c:pt idx="0">
                  <c:v>Set/Reset [mW]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Foglio1!$C$10:$E$10</c:f>
              <c:numCache>
                <c:formatCode>0.00E+00</c:formatCode>
                <c:ptCount val="3"/>
                <c:pt idx="0">
                  <c:v>3.56509622179146E-3</c:v>
                </c:pt>
                <c:pt idx="1">
                  <c:v>3.3474038900749301E-3</c:v>
                </c:pt>
                <c:pt idx="2" formatCode="General">
                  <c:v>4.1604484977142402E-3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42-429A-B9F7-CB06BAC637E4}"/>
            </c:ext>
          </c:extLst>
        </c:ser>
        <c:ser>
          <c:idx val="7"/>
          <c:order val="7"/>
          <c:tx>
            <c:strRef>
              <c:f>Foglio1!$B$11</c:f>
              <c:strCache>
                <c:ptCount val="1"/>
                <c:pt idx="0">
                  <c:v>Data [mW]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Foglio1!$C$11:$E$11</c:f>
              <c:numCache>
                <c:formatCode>General</c:formatCode>
                <c:ptCount val="3"/>
                <c:pt idx="0">
                  <c:v>1.00705958902836</c:v>
                </c:pt>
                <c:pt idx="1">
                  <c:v>1.3819906162098099</c:v>
                </c:pt>
                <c:pt idx="2">
                  <c:v>0.93770562671124902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42-429A-B9F7-CB06BAC637E4}"/>
            </c:ext>
          </c:extLst>
        </c:ser>
        <c:ser>
          <c:idx val="8"/>
          <c:order val="8"/>
          <c:tx>
            <c:strRef>
              <c:f>Foglio1!$B$12</c:f>
              <c:strCache>
                <c:ptCount val="1"/>
                <c:pt idx="0">
                  <c:v>Total [mW]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Foglio1!$C$12:$E$12</c:f>
              <c:numCache>
                <c:formatCode>General</c:formatCode>
                <c:ptCount val="3"/>
                <c:pt idx="0">
                  <c:v>15.001531363623146</c:v>
                </c:pt>
                <c:pt idx="1">
                  <c:v>22.073856378028722</c:v>
                </c:pt>
                <c:pt idx="2">
                  <c:v>11.406155184431555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42-429A-B9F7-CB06BAC637E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360288"/>
        <c:axId val="870359808"/>
      </c:lineChart>
      <c:catAx>
        <c:axId val="87036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59808"/>
        <c:crosses val="autoZero"/>
        <c:auto val="1"/>
        <c:lblAlgn val="ctr"/>
        <c:lblOffset val="100"/>
        <c:noMultiLvlLbl val="0"/>
      </c:catAx>
      <c:valAx>
        <c:axId val="870359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Foglio1!$B$14</c:f>
              <c:strCache>
                <c:ptCount val="1"/>
                <c:pt idx="0">
                  <c:v>LUT [#]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Foglio1!$C$14:$E$14</c:f>
              <c:numCache>
                <c:formatCode>General</c:formatCode>
                <c:ptCount val="3"/>
                <c:pt idx="0">
                  <c:v>275</c:v>
                </c:pt>
                <c:pt idx="1">
                  <c:v>270</c:v>
                </c:pt>
                <c:pt idx="2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2D-4256-900E-3D82AFAF8BB1}"/>
            </c:ext>
          </c:extLst>
        </c:ser>
        <c:ser>
          <c:idx val="1"/>
          <c:order val="1"/>
          <c:tx>
            <c:strRef>
              <c:f>Foglio1!$B$15</c:f>
              <c:strCache>
                <c:ptCount val="1"/>
                <c:pt idx="0">
                  <c:v>LUTRAM [#]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Foglio1!$C$15:$E$15</c:f>
              <c:numCache>
                <c:formatCode>General</c:formatCode>
                <c:ptCount val="3"/>
                <c:pt idx="0">
                  <c:v>32</c:v>
                </c:pt>
                <c:pt idx="1">
                  <c:v>32</c:v>
                </c:pt>
                <c:pt idx="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2D-4256-900E-3D82AFAF8BB1}"/>
            </c:ext>
          </c:extLst>
        </c:ser>
        <c:ser>
          <c:idx val="2"/>
          <c:order val="2"/>
          <c:tx>
            <c:strRef>
              <c:f>Foglio1!$B$16</c:f>
              <c:strCache>
                <c:ptCount val="1"/>
                <c:pt idx="0">
                  <c:v>FF [#]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Foglio1!$C$16:$E$16</c:f>
              <c:numCache>
                <c:formatCode>General</c:formatCode>
                <c:ptCount val="3"/>
                <c:pt idx="0">
                  <c:v>160</c:v>
                </c:pt>
                <c:pt idx="1">
                  <c:v>134</c:v>
                </c:pt>
                <c:pt idx="2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2D-4256-900E-3D82AFAF8BB1}"/>
            </c:ext>
          </c:extLst>
        </c:ser>
        <c:ser>
          <c:idx val="3"/>
          <c:order val="3"/>
          <c:tx>
            <c:strRef>
              <c:f>Foglio1!$B$17</c:f>
              <c:strCache>
                <c:ptCount val="1"/>
                <c:pt idx="0">
                  <c:v>DSP [#]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Foglio1!$C$17:$E$17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2D-4256-900E-3D82AFAF8BB1}"/>
            </c:ext>
          </c:extLst>
        </c:ser>
        <c:ser>
          <c:idx val="4"/>
          <c:order val="4"/>
          <c:tx>
            <c:strRef>
              <c:f>Foglio1!$B$18</c:f>
              <c:strCache>
                <c:ptCount val="1"/>
                <c:pt idx="0">
                  <c:v>IO [#]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Foglio1!$C$18:$E$18</c:f>
              <c:numCache>
                <c:formatCode>General</c:formatCode>
                <c:ptCount val="3"/>
                <c:pt idx="0">
                  <c:v>71</c:v>
                </c:pt>
                <c:pt idx="1">
                  <c:v>71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2D-4256-900E-3D82AFAF8BB1}"/>
            </c:ext>
          </c:extLst>
        </c:ser>
        <c:ser>
          <c:idx val="5"/>
          <c:order val="5"/>
          <c:tx>
            <c:strRef>
              <c:f>Foglio1!$B$19</c:f>
              <c:strCache>
                <c:ptCount val="1"/>
                <c:pt idx="0">
                  <c:v>BUFG [#]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Foglio1!$C$2:$E$2</c:f>
              <c:strCache>
                <c:ptCount val="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</c:strCache>
            </c:strRef>
          </c:cat>
          <c:val>
            <c:numRef>
              <c:f>Foglio1!$C$19:$E$19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2D-4256-900E-3D82AFAF8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963423"/>
        <c:axId val="939963903"/>
      </c:lineChart>
      <c:catAx>
        <c:axId val="93996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963903"/>
        <c:crosses val="autoZero"/>
        <c:auto val="1"/>
        <c:lblAlgn val="ctr"/>
        <c:lblOffset val="100"/>
        <c:noMultiLvlLbl val="0"/>
      </c:catAx>
      <c:valAx>
        <c:axId val="939963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96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Dynamic Power Analysis (Absolute Error)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Foglio1!$B$29</c:f>
              <c:strCache>
                <c:ptCount val="1"/>
                <c:pt idx="0">
                  <c:v>Clock Enable [mW]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Foglio1!$D$29:$E$29</c:f>
              <c:numCache>
                <c:formatCode>General</c:formatCode>
                <c:ptCount val="2"/>
                <c:pt idx="0">
                  <c:v>-8.3739781985058992E-2</c:v>
                </c:pt>
                <c:pt idx="1">
                  <c:v>-0.16162425163201899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1-4A9E-AC6F-534ADBE5033F}"/>
            </c:ext>
          </c:extLst>
        </c:ser>
        <c:ser>
          <c:idx val="1"/>
          <c:order val="1"/>
          <c:tx>
            <c:strRef>
              <c:f>Foglio1!$B$30</c:f>
              <c:strCache>
                <c:ptCount val="1"/>
                <c:pt idx="0">
                  <c:v>Clocks [mW]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Foglio1!$D$30:$E$30</c:f>
              <c:numCache>
                <c:formatCode>General</c:formatCode>
                <c:ptCount val="2"/>
                <c:pt idx="0">
                  <c:v>0.54130377247929995</c:v>
                </c:pt>
                <c:pt idx="1">
                  <c:v>-0.11654733680188989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1-4A9E-AC6F-534ADBE5033F}"/>
            </c:ext>
          </c:extLst>
        </c:ser>
        <c:ser>
          <c:idx val="2"/>
          <c:order val="2"/>
          <c:tx>
            <c:strRef>
              <c:f>Foglio1!$B$31</c:f>
              <c:strCache>
                <c:ptCount val="1"/>
                <c:pt idx="0">
                  <c:v>DSP [mW]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Foglio1!$D$31:$E$31</c:f>
              <c:numCache>
                <c:formatCode>General</c:formatCode>
                <c:ptCount val="2"/>
                <c:pt idx="0">
                  <c:v>7.9664983786642996E-2</c:v>
                </c:pt>
                <c:pt idx="1">
                  <c:v>-1.3816927094011999E-2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51-4A9E-AC6F-534ADBE5033F}"/>
            </c:ext>
          </c:extLst>
        </c:ser>
        <c:ser>
          <c:idx val="3"/>
          <c:order val="3"/>
          <c:tx>
            <c:strRef>
              <c:f>Foglio1!$B$32</c:f>
              <c:strCache>
                <c:ptCount val="1"/>
                <c:pt idx="0">
                  <c:v>Hierarchical [mW]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Foglio1!$D$32:$E$32</c:f>
              <c:numCache>
                <c:formatCode>General</c:formatCode>
                <c:ptCount val="2"/>
                <c:pt idx="0">
                  <c:v>3.5361633636057297</c:v>
                </c:pt>
                <c:pt idx="1">
                  <c:v>-1.7976877279579595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51-4A9E-AC6F-534ADBE5033F}"/>
            </c:ext>
          </c:extLst>
        </c:ser>
        <c:ser>
          <c:idx val="4"/>
          <c:order val="4"/>
          <c:tx>
            <c:strRef>
              <c:f>Foglio1!$B$33</c:f>
              <c:strCache>
                <c:ptCount val="1"/>
                <c:pt idx="0">
                  <c:v>I/O [mW]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Foglio1!$D$33:$E$33</c:f>
              <c:numCache>
                <c:formatCode>General</c:formatCode>
                <c:ptCount val="2"/>
                <c:pt idx="0">
                  <c:v>2.7074448298662896</c:v>
                </c:pt>
                <c:pt idx="1">
                  <c:v>-1.10574904829264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51-4A9E-AC6F-534ADBE5033F}"/>
            </c:ext>
          </c:extLst>
        </c:ser>
        <c:ser>
          <c:idx val="5"/>
          <c:order val="5"/>
          <c:tx>
            <c:strRef>
              <c:f>Foglio1!$B$34</c:f>
              <c:strCache>
                <c:ptCount val="1"/>
                <c:pt idx="0">
                  <c:v>Logic [mW]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Foglio1!$D$34:$E$34</c:f>
              <c:numCache>
                <c:formatCode>General</c:formatCode>
                <c:ptCount val="2"/>
                <c:pt idx="0">
                  <c:v>-8.3225488197058994E-2</c:v>
                </c:pt>
                <c:pt idx="1">
                  <c:v>-0.33119227737188395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51-4A9E-AC6F-534ADBE5033F}"/>
            </c:ext>
          </c:extLst>
        </c:ser>
        <c:ser>
          <c:idx val="6"/>
          <c:order val="6"/>
          <c:tx>
            <c:strRef>
              <c:f>Foglio1!$B$35</c:f>
              <c:strCache>
                <c:ptCount val="1"/>
                <c:pt idx="0">
                  <c:v>Set/Reset [mW]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Foglio1!$D$35:$E$35</c:f>
              <c:numCache>
                <c:formatCode>0.00E+00</c:formatCode>
                <c:ptCount val="2"/>
                <c:pt idx="0">
                  <c:v>-2.1769233171652991E-4</c:v>
                </c:pt>
                <c:pt idx="1">
                  <c:v>5.9535227592278023E-4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51-4A9E-AC6F-534ADBE5033F}"/>
            </c:ext>
          </c:extLst>
        </c:ser>
        <c:ser>
          <c:idx val="7"/>
          <c:order val="7"/>
          <c:tx>
            <c:strRef>
              <c:f>Foglio1!$B$36</c:f>
              <c:strCache>
                <c:ptCount val="1"/>
                <c:pt idx="0">
                  <c:v>Data [mW]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Foglio1!$D$36:$E$36</c:f>
              <c:numCache>
                <c:formatCode>General</c:formatCode>
                <c:ptCount val="2"/>
                <c:pt idx="0">
                  <c:v>0.37493102718144988</c:v>
                </c:pt>
                <c:pt idx="1">
                  <c:v>-6.9353962317110995E-2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51-4A9E-AC6F-534ADBE5033F}"/>
            </c:ext>
          </c:extLst>
        </c:ser>
        <c:ser>
          <c:idx val="8"/>
          <c:order val="8"/>
          <c:tx>
            <c:strRef>
              <c:f>Foglio1!$B$37</c:f>
              <c:strCache>
                <c:ptCount val="1"/>
                <c:pt idx="0">
                  <c:v>Total [mW]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Foglio1!$D$37:$E$37</c:f>
              <c:numCache>
                <c:formatCode>General</c:formatCode>
                <c:ptCount val="2"/>
                <c:pt idx="0">
                  <c:v>7.0723250144055774</c:v>
                </c:pt>
                <c:pt idx="1">
                  <c:v>-3.5953761791915921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51-4A9E-AC6F-534ADBE5033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935639695"/>
        <c:axId val="935637775"/>
      </c:barChart>
      <c:catAx>
        <c:axId val="93563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37775"/>
        <c:crosses val="autoZero"/>
        <c:auto val="1"/>
        <c:lblAlgn val="ctr"/>
        <c:lblOffset val="100"/>
        <c:noMultiLvlLbl val="0"/>
      </c:catAx>
      <c:valAx>
        <c:axId val="935637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3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Analysis (Absolute Error)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Foglio1!$B$39</c:f>
              <c:strCache>
                <c:ptCount val="1"/>
                <c:pt idx="0">
                  <c:v>LUT [#]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Foglio1!$D$39:$E$39</c:f>
              <c:numCache>
                <c:formatCode>General</c:formatCode>
                <c:ptCount val="2"/>
                <c:pt idx="0">
                  <c:v>-5</c:v>
                </c:pt>
                <c:pt idx="1">
                  <c:v>-117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BA-46CE-94A5-676B31E27CC8}"/>
            </c:ext>
          </c:extLst>
        </c:ser>
        <c:ser>
          <c:idx val="1"/>
          <c:order val="1"/>
          <c:tx>
            <c:strRef>
              <c:f>Foglio1!$B$40</c:f>
              <c:strCache>
                <c:ptCount val="1"/>
                <c:pt idx="0">
                  <c:v>LUTRAM [#]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Foglio1!$D$40:$E$40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BA-46CE-94A5-676B31E27CC8}"/>
            </c:ext>
          </c:extLst>
        </c:ser>
        <c:ser>
          <c:idx val="2"/>
          <c:order val="2"/>
          <c:tx>
            <c:strRef>
              <c:f>Foglio1!$B$41</c:f>
              <c:strCache>
                <c:ptCount val="1"/>
                <c:pt idx="0">
                  <c:v>FF [#]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Foglio1!$D$41:$E$41</c:f>
              <c:numCache>
                <c:formatCode>General</c:formatCode>
                <c:ptCount val="2"/>
                <c:pt idx="0">
                  <c:v>-26</c:v>
                </c:pt>
                <c:pt idx="1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BA-46CE-94A5-676B31E27CC8}"/>
            </c:ext>
          </c:extLst>
        </c:ser>
        <c:ser>
          <c:idx val="3"/>
          <c:order val="3"/>
          <c:tx>
            <c:strRef>
              <c:f>Foglio1!$B$42</c:f>
              <c:strCache>
                <c:ptCount val="1"/>
                <c:pt idx="0">
                  <c:v>DSP [#]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Foglio1!$D$42:$E$42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BA-46CE-94A5-676B31E27CC8}"/>
            </c:ext>
          </c:extLst>
        </c:ser>
        <c:ser>
          <c:idx val="4"/>
          <c:order val="4"/>
          <c:tx>
            <c:strRef>
              <c:f>Foglio1!$B$43</c:f>
              <c:strCache>
                <c:ptCount val="1"/>
                <c:pt idx="0">
                  <c:v>IO [#]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Foglio1!$D$43:$E$43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BA-46CE-94A5-676B31E27CC8}"/>
            </c:ext>
          </c:extLst>
        </c:ser>
        <c:ser>
          <c:idx val="5"/>
          <c:order val="5"/>
          <c:tx>
            <c:strRef>
              <c:f>Foglio1!$B$44</c:f>
              <c:strCache>
                <c:ptCount val="1"/>
                <c:pt idx="0">
                  <c:v>BUFG [#]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Foglio1!$D$27:$E$27</c:f>
              <c:strCache>
                <c:ptCount val="2"/>
                <c:pt idx="0">
                  <c:v>Code Hoisting Solution</c:v>
                </c:pt>
                <c:pt idx="1">
                  <c:v>Loop Fission Solution</c:v>
                </c:pt>
              </c:strCache>
            </c:strRef>
          </c:cat>
          <c:val>
            <c:numRef>
              <c:f>Foglio1!$D$44:$E$44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BA-46CE-94A5-676B31E27CC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1032077359"/>
        <c:axId val="1032075919"/>
      </c:barChart>
      <c:catAx>
        <c:axId val="103207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75919"/>
        <c:crosses val="autoZero"/>
        <c:auto val="1"/>
        <c:lblAlgn val="ctr"/>
        <c:lblOffset val="100"/>
        <c:noMultiLvlLbl val="0"/>
      </c:catAx>
      <c:valAx>
        <c:axId val="103207591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7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265579</xdr:colOff>
      <xdr:row>3</xdr:row>
      <xdr:rowOff>58150</xdr:rowOff>
    </xdr:from>
    <xdr:to>
      <xdr:col>18</xdr:col>
      <xdr:colOff>493554</xdr:colOff>
      <xdr:row>23</xdr:row>
      <xdr:rowOff>2961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EA15B43-FEF9-6099-FAD9-431308EB6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574302</xdr:colOff>
      <xdr:row>3</xdr:row>
      <xdr:rowOff>25933</xdr:rowOff>
    </xdr:from>
    <xdr:to>
      <xdr:col>29</xdr:col>
      <xdr:colOff>100721</xdr:colOff>
      <xdr:row>23</xdr:row>
      <xdr:rowOff>24813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0BF650F-16DA-847F-8FCC-1A793CBAE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278944</xdr:colOff>
      <xdr:row>23</xdr:row>
      <xdr:rowOff>111579</xdr:rowOff>
    </xdr:from>
    <xdr:to>
      <xdr:col>18</xdr:col>
      <xdr:colOff>478517</xdr:colOff>
      <xdr:row>43</xdr:row>
      <xdr:rowOff>13608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844EF450-BADA-6BD5-6B89-825C31FF4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578302</xdr:colOff>
      <xdr:row>23</xdr:row>
      <xdr:rowOff>179613</xdr:rowOff>
    </xdr:from>
    <xdr:to>
      <xdr:col>29</xdr:col>
      <xdr:colOff>54427</xdr:colOff>
      <xdr:row>43</xdr:row>
      <xdr:rowOff>14967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4678BC62-5CCF-FD49-0721-5D4082981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isco%20D\universita\magistrale\progettazione-low-power\progetti\progetto-3\vivado\Report.xlsx" TargetMode="External"/><Relationship Id="rId1" Type="http://schemas.openxmlformats.org/officeDocument/2006/relationships/externalLinkPath" Target="/Disco%20D/universita/magistrale/progettazione-low-power/progetti/progetto-3/vivado/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3">
          <cell r="C3" t="str">
            <v>Non Optimized Design</v>
          </cell>
          <cell r="D3" t="str">
            <v>Registering Design</v>
          </cell>
          <cell r="E3" t="str">
            <v>Clock Gating Selectors Design</v>
          </cell>
          <cell r="F3" t="str">
            <v>Clock Gating Inputs Design</v>
          </cell>
          <cell r="G3" t="str">
            <v>Clock Gating All Design</v>
          </cell>
          <cell r="H3" t="str">
            <v>Hybrid Clock Gating All and Registering Design</v>
          </cell>
        </row>
        <row r="5">
          <cell r="B5" t="str">
            <v>Clocks Power [mW]</v>
          </cell>
          <cell r="C5">
            <v>1.7108991742134101</v>
          </cell>
          <cell r="D5">
            <v>2.5287989992648403</v>
          </cell>
          <cell r="E5">
            <v>1.58879917580634</v>
          </cell>
          <cell r="F5">
            <v>2.03909818083048</v>
          </cell>
          <cell r="G5">
            <v>1.48880027700216</v>
          </cell>
          <cell r="H5">
            <v>2.01009842567146</v>
          </cell>
        </row>
        <row r="6">
          <cell r="B6" t="str">
            <v>Signals Data Power [mW]</v>
          </cell>
          <cell r="C6">
            <v>8.2017192617058807</v>
          </cell>
          <cell r="D6">
            <v>7.1427957154810402</v>
          </cell>
          <cell r="E6">
            <v>8.1042144447565096</v>
          </cell>
          <cell r="F6">
            <v>8.0843381583690608</v>
          </cell>
          <cell r="G6">
            <v>8.0169141292572004</v>
          </cell>
          <cell r="H6">
            <v>7.0602511987090102</v>
          </cell>
        </row>
        <row r="7">
          <cell r="B7" t="str">
            <v>Logic Power [mW]</v>
          </cell>
          <cell r="C7">
            <v>3.8697000127285701</v>
          </cell>
          <cell r="D7">
            <v>2.55344109609723</v>
          </cell>
          <cell r="E7">
            <v>3.68808512575924</v>
          </cell>
          <cell r="F7">
            <v>3.8097926881164299</v>
          </cell>
          <cell r="G7">
            <v>3.4701528493314999</v>
          </cell>
          <cell r="H7">
            <v>2.4122339673340298</v>
          </cell>
        </row>
        <row r="8">
          <cell r="B8" t="str">
            <v>Total Power [mW]</v>
          </cell>
          <cell r="C8">
            <v>13.78231844864786</v>
          </cell>
          <cell r="D8">
            <v>12.22503581084311</v>
          </cell>
          <cell r="E8">
            <v>13.38109874632209</v>
          </cell>
          <cell r="F8">
            <v>13.933229027315971</v>
          </cell>
          <cell r="G8">
            <v>12.97586725559086</v>
          </cell>
          <cell r="H8">
            <v>11.4825835917145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FD06-CF12-407A-B05E-22928E94B38D}">
  <dimension ref="B2:E48"/>
  <sheetViews>
    <sheetView tabSelected="1" zoomScale="70" zoomScaleNormal="70" workbookViewId="0">
      <selection activeCell="O50" sqref="O50"/>
    </sheetView>
  </sheetViews>
  <sheetFormatPr defaultRowHeight="15" x14ac:dyDescent="0.25"/>
  <cols>
    <col min="1" max="1" width="9.140625" style="1"/>
    <col min="2" max="2" width="33" style="1" bestFit="1" customWidth="1"/>
    <col min="3" max="3" width="26.140625" style="1" bestFit="1" customWidth="1"/>
    <col min="4" max="4" width="27.5703125" style="1" bestFit="1" customWidth="1"/>
    <col min="5" max="5" width="25.85546875" style="1" bestFit="1" customWidth="1"/>
    <col min="6" max="16384" width="9.140625" style="1"/>
  </cols>
  <sheetData>
    <row r="2" spans="2:5" ht="18.75" x14ac:dyDescent="0.25">
      <c r="B2" s="20" t="s">
        <v>25</v>
      </c>
      <c r="C2" s="2" t="s">
        <v>0</v>
      </c>
      <c r="D2" s="2" t="s">
        <v>2</v>
      </c>
      <c r="E2" s="2" t="s">
        <v>1</v>
      </c>
    </row>
    <row r="3" spans="2:5" ht="15.75" x14ac:dyDescent="0.25">
      <c r="B3" s="21"/>
      <c r="C3" s="15" t="s">
        <v>22</v>
      </c>
      <c r="D3" s="15"/>
      <c r="E3" s="15"/>
    </row>
    <row r="4" spans="2:5" x14ac:dyDescent="0.25">
      <c r="B4" s="9" t="s">
        <v>12</v>
      </c>
      <c r="C4" s="3">
        <f>1000*0.000454227469163015</f>
        <v>0.45422746916301499</v>
      </c>
      <c r="D4" s="9">
        <f>1000*0.000370487687177956</f>
        <v>0.37048768717795599</v>
      </c>
      <c r="E4" s="4">
        <f>1000*0.000292603217530996</f>
        <v>0.292603217530996</v>
      </c>
    </row>
    <row r="5" spans="2:5" x14ac:dyDescent="0.25">
      <c r="B5" s="10" t="s">
        <v>13</v>
      </c>
      <c r="C5" s="1">
        <f>1000*0.00121548492461443</f>
        <v>1.2154849246144299</v>
      </c>
      <c r="D5" s="10">
        <f>1000*0.00175678869709373</f>
        <v>1.7567886970937299</v>
      </c>
      <c r="E5" s="5">
        <f>1000*0.00109893758781254</f>
        <v>1.09893758781254</v>
      </c>
    </row>
    <row r="6" spans="2:5" x14ac:dyDescent="0.25">
      <c r="B6" s="10" t="s">
        <v>14</v>
      </c>
      <c r="C6" s="1">
        <f>1000*0.000335011805873364</f>
        <v>0.33501180587336399</v>
      </c>
      <c r="D6" s="10">
        <f>1000*0.000414676789660007</f>
        <v>0.41467678966000698</v>
      </c>
      <c r="E6" s="5">
        <f>1000*0.000321194878779352</f>
        <v>0.32119487877935199</v>
      </c>
    </row>
    <row r="7" spans="2:5" x14ac:dyDescent="0.25">
      <c r="B7" s="10" t="s">
        <v>15</v>
      </c>
      <c r="C7" s="1">
        <f>1000*0.00750076537951827</f>
        <v>7.5007653795182696</v>
      </c>
      <c r="D7" s="10">
        <f>1000*0.011036928743124</f>
        <v>11.036928743123999</v>
      </c>
      <c r="E7" s="5">
        <f>1000*0.00570307765156031</f>
        <v>5.7030776515603101</v>
      </c>
    </row>
    <row r="8" spans="2:5" x14ac:dyDescent="0.25">
      <c r="B8" s="10" t="s">
        <v>16</v>
      </c>
      <c r="C8" s="1">
        <f>1000*0.00356393656693399</f>
        <v>3.56393656693399</v>
      </c>
      <c r="D8" s="10">
        <f>1000*0.00627138139680028</f>
        <v>6.2713813968002796</v>
      </c>
      <c r="E8" s="5">
        <f>1000*0.00245818751864135</f>
        <v>2.45818751864135</v>
      </c>
    </row>
    <row r="9" spans="2:5" x14ac:dyDescent="0.25">
      <c r="B9" s="10" t="s">
        <v>17</v>
      </c>
      <c r="C9" s="1">
        <f>1000*0.000921480532269925</f>
        <v>0.92148053226992499</v>
      </c>
      <c r="D9" s="10">
        <f>1000*0.000838255044072866</f>
        <v>0.838255044072866</v>
      </c>
      <c r="E9" s="5">
        <f>1000*0.000590288254898041</f>
        <v>0.59028825489804104</v>
      </c>
    </row>
    <row r="10" spans="2:5" x14ac:dyDescent="0.25">
      <c r="B10" s="10" t="s">
        <v>18</v>
      </c>
      <c r="C10" s="13">
        <f>1000*3.56509622179146E-06</f>
        <v>3.56509622179146E-3</v>
      </c>
      <c r="D10" s="14">
        <f>1000*3.34740389007493E-06</f>
        <v>3.3474038900749301E-3</v>
      </c>
      <c r="E10" s="5">
        <f>1000*4.16044849771424E-06</f>
        <v>4.1604484977142402E-3</v>
      </c>
    </row>
    <row r="11" spans="2:5" x14ac:dyDescent="0.25">
      <c r="B11" s="10" t="s">
        <v>19</v>
      </c>
      <c r="C11" s="1">
        <f>1000*0.00100705958902836</f>
        <v>1.00705958902836</v>
      </c>
      <c r="D11" s="10">
        <f>1000*0.00138199061620981</f>
        <v>1.3819906162098099</v>
      </c>
      <c r="E11" s="5">
        <f>1000*0.000937705626711249</f>
        <v>0.93770562671124902</v>
      </c>
    </row>
    <row r="12" spans="2:5" x14ac:dyDescent="0.25">
      <c r="B12" s="11" t="s">
        <v>21</v>
      </c>
      <c r="C12" s="11">
        <f>SUM(C4:C11)</f>
        <v>15.001531363623146</v>
      </c>
      <c r="D12" s="11">
        <f>SUM(D4:D11)</f>
        <v>22.073856378028722</v>
      </c>
      <c r="E12" s="11">
        <f>SUM(E4:E11)</f>
        <v>11.406155184431555</v>
      </c>
    </row>
    <row r="13" spans="2:5" ht="15.75" x14ac:dyDescent="0.25">
      <c r="B13" s="17"/>
      <c r="C13" s="15" t="s">
        <v>3</v>
      </c>
      <c r="D13" s="15"/>
      <c r="E13" s="15"/>
    </row>
    <row r="14" spans="2:5" x14ac:dyDescent="0.25">
      <c r="B14" s="9" t="s">
        <v>6</v>
      </c>
      <c r="C14" s="3">
        <v>275</v>
      </c>
      <c r="D14" s="9">
        <v>270</v>
      </c>
      <c r="E14" s="4">
        <v>158</v>
      </c>
    </row>
    <row r="15" spans="2:5" x14ac:dyDescent="0.25">
      <c r="B15" s="10" t="s">
        <v>7</v>
      </c>
      <c r="C15" s="1">
        <v>32</v>
      </c>
      <c r="D15" s="10">
        <v>32</v>
      </c>
      <c r="E15" s="5">
        <v>32</v>
      </c>
    </row>
    <row r="16" spans="2:5" x14ac:dyDescent="0.25">
      <c r="B16" s="10" t="s">
        <v>8</v>
      </c>
      <c r="C16" s="1">
        <v>160</v>
      </c>
      <c r="D16" s="10">
        <v>134</v>
      </c>
      <c r="E16" s="5">
        <v>106</v>
      </c>
    </row>
    <row r="17" spans="2:5" x14ac:dyDescent="0.25">
      <c r="B17" s="10" t="s">
        <v>9</v>
      </c>
      <c r="C17" s="1">
        <v>2</v>
      </c>
      <c r="D17" s="10">
        <v>2</v>
      </c>
      <c r="E17" s="5">
        <v>2</v>
      </c>
    </row>
    <row r="18" spans="2:5" x14ac:dyDescent="0.25">
      <c r="B18" s="10" t="s">
        <v>10</v>
      </c>
      <c r="C18" s="1">
        <v>71</v>
      </c>
      <c r="D18" s="10">
        <v>71</v>
      </c>
      <c r="E18" s="5">
        <v>71</v>
      </c>
    </row>
    <row r="19" spans="2:5" x14ac:dyDescent="0.25">
      <c r="B19" s="11" t="s">
        <v>11</v>
      </c>
      <c r="C19" s="7">
        <v>1</v>
      </c>
      <c r="D19" s="11">
        <v>1</v>
      </c>
      <c r="E19" s="8">
        <v>1</v>
      </c>
    </row>
    <row r="20" spans="2:5" ht="15.75" x14ac:dyDescent="0.25">
      <c r="B20" s="19"/>
      <c r="C20" s="15" t="s">
        <v>23</v>
      </c>
      <c r="D20" s="15"/>
      <c r="E20" s="15"/>
    </row>
    <row r="21" spans="2:5" x14ac:dyDescent="0.25">
      <c r="B21" s="9" t="s">
        <v>5</v>
      </c>
      <c r="C21" s="3">
        <v>10</v>
      </c>
      <c r="D21" s="9">
        <v>10</v>
      </c>
      <c r="E21" s="4">
        <v>10</v>
      </c>
    </row>
    <row r="22" spans="2:5" x14ac:dyDescent="0.25">
      <c r="B22" s="10" t="s">
        <v>4</v>
      </c>
      <c r="C22" s="16">
        <v>3.6539999999999999</v>
      </c>
      <c r="D22" s="10">
        <v>3.0739999999999998</v>
      </c>
      <c r="E22" s="5">
        <v>3.464</v>
      </c>
    </row>
    <row r="23" spans="2:5" x14ac:dyDescent="0.25">
      <c r="B23" s="6" t="s">
        <v>20</v>
      </c>
      <c r="C23" s="6">
        <f>1000*1/(C21-C22)</f>
        <v>157.5795776867318</v>
      </c>
      <c r="D23" s="6">
        <f>1000*1/(D21-D22)</f>
        <v>144.38348252959861</v>
      </c>
      <c r="E23" s="11">
        <f>1000*1/(E21-E22)</f>
        <v>152.99877600979192</v>
      </c>
    </row>
    <row r="27" spans="2:5" ht="18.75" x14ac:dyDescent="0.25">
      <c r="B27" s="22" t="s">
        <v>24</v>
      </c>
      <c r="C27" s="2" t="s">
        <v>0</v>
      </c>
      <c r="D27" s="2" t="s">
        <v>2</v>
      </c>
      <c r="E27" s="2" t="s">
        <v>1</v>
      </c>
    </row>
    <row r="28" spans="2:5" ht="15.75" x14ac:dyDescent="0.25">
      <c r="B28" s="23"/>
      <c r="C28" s="15" t="s">
        <v>22</v>
      </c>
      <c r="D28" s="15"/>
      <c r="E28" s="15"/>
    </row>
    <row r="29" spans="2:5" x14ac:dyDescent="0.25">
      <c r="B29" s="9" t="s">
        <v>12</v>
      </c>
      <c r="C29" s="3">
        <f>1000*0.000454227469163015</f>
        <v>0.45422746916301499</v>
      </c>
      <c r="D29" s="9">
        <f>1000*0.000370487687177956-C29</f>
        <v>-8.3739781985058992E-2</v>
      </c>
      <c r="E29" s="4">
        <f>1000*0.000292603217530996-C29</f>
        <v>-0.16162425163201899</v>
      </c>
    </row>
    <row r="30" spans="2:5" x14ac:dyDescent="0.25">
      <c r="B30" s="10" t="s">
        <v>13</v>
      </c>
      <c r="C30" s="1">
        <f>1000*0.00121548492461443</f>
        <v>1.2154849246144299</v>
      </c>
      <c r="D30" s="10">
        <f>1000*0.00175678869709373-C30</f>
        <v>0.54130377247929995</v>
      </c>
      <c r="E30" s="5">
        <f>1000*0.00109893758781254-C30</f>
        <v>-0.11654733680188989</v>
      </c>
    </row>
    <row r="31" spans="2:5" x14ac:dyDescent="0.25">
      <c r="B31" s="10" t="s">
        <v>14</v>
      </c>
      <c r="C31" s="1">
        <f>1000*0.000335011805873364</f>
        <v>0.33501180587336399</v>
      </c>
      <c r="D31" s="10">
        <f>1000*0.000414676789660007-C31</f>
        <v>7.9664983786642996E-2</v>
      </c>
      <c r="E31" s="5">
        <f>1000*0.000321194878779352-C31</f>
        <v>-1.3816927094011999E-2</v>
      </c>
    </row>
    <row r="32" spans="2:5" x14ac:dyDescent="0.25">
      <c r="B32" s="10" t="s">
        <v>15</v>
      </c>
      <c r="C32" s="1">
        <f>1000*0.00750076537951827</f>
        <v>7.5007653795182696</v>
      </c>
      <c r="D32" s="10">
        <f>1000*0.011036928743124-C32</f>
        <v>3.5361633636057297</v>
      </c>
      <c r="E32" s="5">
        <f>1000*0.00570307765156031-C32</f>
        <v>-1.7976877279579595</v>
      </c>
    </row>
    <row r="33" spans="2:5" x14ac:dyDescent="0.25">
      <c r="B33" s="10" t="s">
        <v>16</v>
      </c>
      <c r="C33" s="1">
        <f>1000*0.00356393656693399</f>
        <v>3.56393656693399</v>
      </c>
      <c r="D33" s="10">
        <f>1000*0.00627138139680028-C33</f>
        <v>2.7074448298662896</v>
      </c>
      <c r="E33" s="5">
        <f>1000*0.00245818751864135-C33</f>
        <v>-1.10574904829264</v>
      </c>
    </row>
    <row r="34" spans="2:5" x14ac:dyDescent="0.25">
      <c r="B34" s="10" t="s">
        <v>17</v>
      </c>
      <c r="C34" s="1">
        <f>1000*0.000921480532269925</f>
        <v>0.92148053226992499</v>
      </c>
      <c r="D34" s="10">
        <f>1000*0.000838255044072866-C34</f>
        <v>-8.3225488197058994E-2</v>
      </c>
      <c r="E34" s="5">
        <f>1000*0.000590288254898041-C34</f>
        <v>-0.33119227737188395</v>
      </c>
    </row>
    <row r="35" spans="2:5" x14ac:dyDescent="0.25">
      <c r="B35" s="10" t="s">
        <v>18</v>
      </c>
      <c r="C35" s="13">
        <f>1000*3.56509622179146E-06</f>
        <v>3.56509622179146E-3</v>
      </c>
      <c r="D35" s="14">
        <f>1000*3.34740389007493E-06-C35</f>
        <v>-2.1769233171652991E-4</v>
      </c>
      <c r="E35" s="24">
        <f>1000*4.16044849771424E-06-C35</f>
        <v>5.9535227592278023E-4</v>
      </c>
    </row>
    <row r="36" spans="2:5" x14ac:dyDescent="0.25">
      <c r="B36" s="10" t="s">
        <v>19</v>
      </c>
      <c r="C36" s="1">
        <f>1000*0.00100705958902836</f>
        <v>1.00705958902836</v>
      </c>
      <c r="D36" s="10">
        <f>1000*0.00138199061620981-C36</f>
        <v>0.37493102718144988</v>
      </c>
      <c r="E36" s="5">
        <f>1000*0.000937705626711249-C36</f>
        <v>-6.9353962317110995E-2</v>
      </c>
    </row>
    <row r="37" spans="2:5" x14ac:dyDescent="0.25">
      <c r="B37" s="11" t="s">
        <v>21</v>
      </c>
      <c r="C37" s="11">
        <f>SUM(C29:C36)</f>
        <v>15.001531363623146</v>
      </c>
      <c r="D37" s="11">
        <f>SUM(D29:D36)</f>
        <v>7.0723250144055774</v>
      </c>
      <c r="E37" s="11">
        <f>SUM(E29:E36)</f>
        <v>-3.5953761791915921</v>
      </c>
    </row>
    <row r="38" spans="2:5" ht="15.75" x14ac:dyDescent="0.25">
      <c r="B38" s="12"/>
      <c r="C38" s="15" t="s">
        <v>3</v>
      </c>
      <c r="D38" s="15"/>
      <c r="E38" s="15"/>
    </row>
    <row r="39" spans="2:5" x14ac:dyDescent="0.25">
      <c r="B39" s="9" t="s">
        <v>6</v>
      </c>
      <c r="C39" s="3">
        <v>275</v>
      </c>
      <c r="D39" s="9">
        <f>270-C39</f>
        <v>-5</v>
      </c>
      <c r="E39" s="4">
        <f>158-C39</f>
        <v>-117</v>
      </c>
    </row>
    <row r="40" spans="2:5" x14ac:dyDescent="0.25">
      <c r="B40" s="10" t="s">
        <v>7</v>
      </c>
      <c r="C40" s="1">
        <v>32</v>
      </c>
      <c r="D40" s="10">
        <f>32-C40</f>
        <v>0</v>
      </c>
      <c r="E40" s="5">
        <f>32-C40</f>
        <v>0</v>
      </c>
    </row>
    <row r="41" spans="2:5" x14ac:dyDescent="0.25">
      <c r="B41" s="10" t="s">
        <v>8</v>
      </c>
      <c r="C41" s="1">
        <v>160</v>
      </c>
      <c r="D41" s="10">
        <f>134-C41</f>
        <v>-26</v>
      </c>
      <c r="E41" s="5">
        <f>106-C41</f>
        <v>-54</v>
      </c>
    </row>
    <row r="42" spans="2:5" x14ac:dyDescent="0.25">
      <c r="B42" s="10" t="s">
        <v>9</v>
      </c>
      <c r="C42" s="1">
        <v>2</v>
      </c>
      <c r="D42" s="10">
        <f>2-C42</f>
        <v>0</v>
      </c>
      <c r="E42" s="5">
        <f>2-C42</f>
        <v>0</v>
      </c>
    </row>
    <row r="43" spans="2:5" x14ac:dyDescent="0.25">
      <c r="B43" s="10" t="s">
        <v>10</v>
      </c>
      <c r="C43" s="1">
        <v>71</v>
      </c>
      <c r="D43" s="10">
        <f>71-C43</f>
        <v>0</v>
      </c>
      <c r="E43" s="5">
        <f>71-C43</f>
        <v>0</v>
      </c>
    </row>
    <row r="44" spans="2:5" x14ac:dyDescent="0.25">
      <c r="B44" s="11" t="s">
        <v>11</v>
      </c>
      <c r="C44" s="7">
        <v>1</v>
      </c>
      <c r="D44" s="11">
        <f>1-C44</f>
        <v>0</v>
      </c>
      <c r="E44" s="8">
        <f>1-C44</f>
        <v>0</v>
      </c>
    </row>
    <row r="45" spans="2:5" ht="15.75" x14ac:dyDescent="0.25">
      <c r="B45" s="18"/>
      <c r="C45" s="15" t="s">
        <v>23</v>
      </c>
      <c r="D45" s="15"/>
      <c r="E45" s="15"/>
    </row>
    <row r="46" spans="2:5" x14ac:dyDescent="0.25">
      <c r="B46" s="9" t="s">
        <v>5</v>
      </c>
      <c r="C46" s="3">
        <v>10</v>
      </c>
      <c r="D46" s="9">
        <f>10-C46</f>
        <v>0</v>
      </c>
      <c r="E46" s="4">
        <f>10-C46</f>
        <v>0</v>
      </c>
    </row>
    <row r="47" spans="2:5" x14ac:dyDescent="0.25">
      <c r="B47" s="10" t="s">
        <v>4</v>
      </c>
      <c r="C47" s="16">
        <v>3.6539999999999999</v>
      </c>
      <c r="D47" s="10">
        <f>3.074-C47</f>
        <v>-0.58000000000000007</v>
      </c>
      <c r="E47" s="5">
        <f>3.464-C47</f>
        <v>-0.18999999999999995</v>
      </c>
    </row>
    <row r="48" spans="2:5" x14ac:dyDescent="0.25">
      <c r="B48" s="6" t="s">
        <v>20</v>
      </c>
      <c r="C48" s="6">
        <f>1000*1/(C46-C47)</f>
        <v>157.5795776867318</v>
      </c>
      <c r="D48" s="6">
        <f>D23-C48</f>
        <v>-13.196095157133186</v>
      </c>
      <c r="E48" s="11">
        <f>E23-C48</f>
        <v>-4.5808016769398705</v>
      </c>
    </row>
  </sheetData>
  <mergeCells count="8">
    <mergeCell ref="C45:E45"/>
    <mergeCell ref="C38:E38"/>
    <mergeCell ref="C28:E28"/>
    <mergeCell ref="C3:E3"/>
    <mergeCell ref="C13:E13"/>
    <mergeCell ref="C20:E20"/>
    <mergeCell ref="B2:B3"/>
    <mergeCell ref="B27:B28"/>
  </mergeCells>
  <pageMargins left="0.7" right="0.7" top="0.75" bottom="0.75" header="0.3" footer="0.3"/>
  <ignoredErrors>
    <ignoredError sqref="D48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UBBRIACO</dc:creator>
  <cp:lastModifiedBy>GIORGIO UBBRIACO</cp:lastModifiedBy>
  <dcterms:created xsi:type="dcterms:W3CDTF">2024-04-30T21:28:54Z</dcterms:created>
  <dcterms:modified xsi:type="dcterms:W3CDTF">2024-05-01T11:53:51Z</dcterms:modified>
</cp:coreProperties>
</file>