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sintesi-ad-alto-livello-di-sistemi-digitali\progetti\progetto1\reports\vivado\"/>
    </mc:Choice>
  </mc:AlternateContent>
  <xr:revisionPtr revIDLastSave="0" documentId="13_ncr:1_{96529416-7754-4131-9264-E165D5A02F6D}" xr6:coauthVersionLast="47" xr6:coauthVersionMax="47" xr10:uidLastSave="{00000000-0000-0000-0000-000000000000}"/>
  <bookViews>
    <workbookView xWindow="-120" yWindow="-120" windowWidth="29040" windowHeight="15720" xr2:uid="{E7BCC947-1515-412E-876B-4510C27535D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38" i="1" s="1"/>
  <c r="J11" i="1"/>
  <c r="J10" i="1"/>
  <c r="J36" i="1" s="1"/>
  <c r="J9" i="1"/>
  <c r="J35" i="1" s="1"/>
  <c r="J8" i="1"/>
  <c r="J34" i="1" s="1"/>
  <c r="J7" i="1"/>
  <c r="J33" i="1" s="1"/>
  <c r="J6" i="1"/>
  <c r="J5" i="1"/>
  <c r="J31" i="1" s="1"/>
  <c r="J4" i="1"/>
  <c r="J30" i="1" s="1"/>
  <c r="J49" i="1"/>
  <c r="J50" i="1"/>
  <c r="J48" i="1"/>
  <c r="J41" i="1"/>
  <c r="J42" i="1"/>
  <c r="J43" i="1"/>
  <c r="J44" i="1"/>
  <c r="J45" i="1"/>
  <c r="J46" i="1"/>
  <c r="J40" i="1"/>
  <c r="J32" i="1"/>
  <c r="J37" i="1"/>
  <c r="J24" i="1"/>
  <c r="I49" i="1"/>
  <c r="I50" i="1"/>
  <c r="I48" i="1"/>
  <c r="I41" i="1"/>
  <c r="I42" i="1"/>
  <c r="I43" i="1"/>
  <c r="I44" i="1"/>
  <c r="I45" i="1"/>
  <c r="I46" i="1"/>
  <c r="I40" i="1"/>
  <c r="I31" i="1"/>
  <c r="I32" i="1"/>
  <c r="I33" i="1"/>
  <c r="I34" i="1"/>
  <c r="I35" i="1"/>
  <c r="I36" i="1"/>
  <c r="I37" i="1"/>
  <c r="I38" i="1"/>
  <c r="I30" i="1"/>
  <c r="I12" i="1"/>
  <c r="I11" i="1"/>
  <c r="I10" i="1"/>
  <c r="I9" i="1"/>
  <c r="I8" i="1"/>
  <c r="I7" i="1"/>
  <c r="I6" i="1"/>
  <c r="I5" i="1"/>
  <c r="I4" i="1"/>
  <c r="I24" i="1"/>
  <c r="H31" i="1"/>
  <c r="H32" i="1"/>
  <c r="H33" i="1"/>
  <c r="H34" i="1"/>
  <c r="H35" i="1"/>
  <c r="H36" i="1"/>
  <c r="H37" i="1"/>
  <c r="H38" i="1"/>
  <c r="H30" i="1"/>
  <c r="H12" i="1"/>
  <c r="H11" i="1"/>
  <c r="H10" i="1"/>
  <c r="H9" i="1"/>
  <c r="H8" i="1"/>
  <c r="H7" i="1"/>
  <c r="H6" i="1"/>
  <c r="H5" i="1"/>
  <c r="H4" i="1"/>
  <c r="H49" i="1"/>
  <c r="H50" i="1"/>
  <c r="H48" i="1"/>
  <c r="H41" i="1"/>
  <c r="H42" i="1"/>
  <c r="H43" i="1"/>
  <c r="H44" i="1"/>
  <c r="H45" i="1"/>
  <c r="H46" i="1"/>
  <c r="H40" i="1"/>
  <c r="H24" i="1"/>
  <c r="G31" i="1"/>
  <c r="G32" i="1"/>
  <c r="G33" i="1"/>
  <c r="G34" i="1"/>
  <c r="G35" i="1"/>
  <c r="G36" i="1"/>
  <c r="G37" i="1"/>
  <c r="G38" i="1"/>
  <c r="G30" i="1"/>
  <c r="G12" i="1"/>
  <c r="G11" i="1"/>
  <c r="G10" i="1"/>
  <c r="G9" i="1"/>
  <c r="G8" i="1"/>
  <c r="G7" i="1"/>
  <c r="G6" i="1"/>
  <c r="G5" i="1"/>
  <c r="G4" i="1"/>
  <c r="G49" i="1"/>
  <c r="G50" i="1"/>
  <c r="G48" i="1"/>
  <c r="G41" i="1"/>
  <c r="G42" i="1"/>
  <c r="G43" i="1"/>
  <c r="G44" i="1"/>
  <c r="G45" i="1"/>
  <c r="G46" i="1"/>
  <c r="G40" i="1"/>
  <c r="G24" i="1"/>
  <c r="F49" i="1"/>
  <c r="F48" i="1"/>
  <c r="E49" i="1"/>
  <c r="E48" i="1"/>
  <c r="D49" i="1"/>
  <c r="D48" i="1"/>
  <c r="F41" i="1"/>
  <c r="F42" i="1"/>
  <c r="F43" i="1"/>
  <c r="F44" i="1"/>
  <c r="F45" i="1"/>
  <c r="F46" i="1"/>
  <c r="F40" i="1"/>
  <c r="E41" i="1"/>
  <c r="E42" i="1"/>
  <c r="E43" i="1"/>
  <c r="E44" i="1"/>
  <c r="E45" i="1"/>
  <c r="E46" i="1"/>
  <c r="E40" i="1"/>
  <c r="D41" i="1"/>
  <c r="D42" i="1"/>
  <c r="D43" i="1"/>
  <c r="D44" i="1"/>
  <c r="D45" i="1"/>
  <c r="D46" i="1"/>
  <c r="D40" i="1"/>
  <c r="F11" i="1"/>
  <c r="F10" i="1"/>
  <c r="F9" i="1"/>
  <c r="F8" i="1"/>
  <c r="F7" i="1"/>
  <c r="F6" i="1"/>
  <c r="F5" i="1"/>
  <c r="F4" i="1"/>
  <c r="F12" i="1" s="1"/>
  <c r="F24" i="1"/>
  <c r="E24" i="1" l="1"/>
  <c r="E11" i="1"/>
  <c r="E10" i="1"/>
  <c r="E9" i="1"/>
  <c r="E8" i="1"/>
  <c r="E7" i="1"/>
  <c r="E6" i="1"/>
  <c r="E5" i="1"/>
  <c r="E4" i="1"/>
  <c r="D11" i="1"/>
  <c r="D10" i="1"/>
  <c r="D9" i="1"/>
  <c r="D8" i="1"/>
  <c r="D7" i="1"/>
  <c r="D6" i="1"/>
  <c r="D5" i="1"/>
  <c r="D4" i="1"/>
  <c r="D24" i="1"/>
  <c r="C11" i="1"/>
  <c r="F37" i="1" s="1"/>
  <c r="C10" i="1"/>
  <c r="F36" i="1" s="1"/>
  <c r="C9" i="1"/>
  <c r="F35" i="1" s="1"/>
  <c r="C8" i="1"/>
  <c r="F34" i="1" s="1"/>
  <c r="C7" i="1"/>
  <c r="F33" i="1" s="1"/>
  <c r="C6" i="1"/>
  <c r="F32" i="1" s="1"/>
  <c r="C5" i="1"/>
  <c r="F31" i="1" s="1"/>
  <c r="C4" i="1"/>
  <c r="F30" i="1" s="1"/>
  <c r="C24" i="1"/>
  <c r="F50" i="1" s="1"/>
  <c r="E37" i="1" l="1"/>
  <c r="E50" i="1"/>
  <c r="D50" i="1"/>
  <c r="D37" i="1"/>
  <c r="E32" i="1"/>
  <c r="E30" i="1"/>
  <c r="D31" i="1"/>
  <c r="D30" i="1"/>
  <c r="D33" i="1"/>
  <c r="E31" i="1"/>
  <c r="D32" i="1"/>
  <c r="E33" i="1"/>
  <c r="D34" i="1"/>
  <c r="E34" i="1"/>
  <c r="D35" i="1"/>
  <c r="E35" i="1"/>
  <c r="D36" i="1"/>
  <c r="E36" i="1"/>
  <c r="E12" i="1"/>
  <c r="D12" i="1"/>
  <c r="C12" i="1"/>
  <c r="F38" i="1" s="1"/>
  <c r="D38" i="1" l="1"/>
  <c r="E38" i="1"/>
</calcChain>
</file>

<file path=xl/sharedStrings.xml><?xml version="1.0" encoding="utf-8"?>
<sst xmlns="http://schemas.openxmlformats.org/spreadsheetml/2006/main" count="61" uniqueCount="33">
  <si>
    <t>Unoptimized Solution</t>
  </si>
  <si>
    <t>Loop Fission Solution</t>
  </si>
  <si>
    <t>Code Hoisting Solution</t>
  </si>
  <si>
    <t>Utilization Analysis</t>
  </si>
  <si>
    <t>WNS [ns]</t>
  </si>
  <si>
    <t>Clock Constraint [ns]</t>
  </si>
  <si>
    <t>LUT [#]</t>
  </si>
  <si>
    <t>LUTRAM [#]</t>
  </si>
  <si>
    <t>FF [#]</t>
  </si>
  <si>
    <t>DSP [#]</t>
  </si>
  <si>
    <t>IO [#]</t>
  </si>
  <si>
    <t>BUFG [#]</t>
  </si>
  <si>
    <t>Clock Enable [mW]</t>
  </si>
  <si>
    <t>Clocks [mW]</t>
  </si>
  <si>
    <t>DSP [mW]</t>
  </si>
  <si>
    <t>Hierarchical [mW]</t>
  </si>
  <si>
    <t>I/O [mW]</t>
  </si>
  <si>
    <t>Logic [mW]</t>
  </si>
  <si>
    <t>Set/Reset [mW]</t>
  </si>
  <si>
    <t>Data [mW]</t>
  </si>
  <si>
    <t>Maximum Clock Frequency [MHz]</t>
  </si>
  <si>
    <t>Total [mW]</t>
  </si>
  <si>
    <t>Dynamic Power Analysis</t>
  </si>
  <si>
    <t>Timing and Frequency Analysis</t>
  </si>
  <si>
    <t>ABSOLUTE ERROR</t>
  </si>
  <si>
    <t>VALUES</t>
  </si>
  <si>
    <t>BRAM [#]</t>
  </si>
  <si>
    <t>Loop Unrolling Solution Factor=2</t>
  </si>
  <si>
    <t>Loop Unrolling Solution Factor=4</t>
  </si>
  <si>
    <t>BRAM[#]</t>
  </si>
  <si>
    <t>Operation Chaining Solution CLK=10ns</t>
  </si>
  <si>
    <t>Operation Chaining Solution CLK=9ns</t>
  </si>
  <si>
    <t>Operation Chaining Solution CLK=8ns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</si>
</sst>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Power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Foglio1!$B$4</c:f>
              <c:strCache>
                <c:ptCount val="1"/>
                <c:pt idx="0">
                  <c:v>Clock Enable [mW]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Foglio1!$C$4:$J$4</c:f>
              <c:numCache>
                <c:formatCode>General</c:formatCode>
                <c:ptCount val="8"/>
                <c:pt idx="0">
                  <c:v>0.45422746916301499</c:v>
                </c:pt>
                <c:pt idx="1">
                  <c:v>0.37048768717795599</c:v>
                </c:pt>
                <c:pt idx="2">
                  <c:v>0.292603217530996</c:v>
                </c:pt>
                <c:pt idx="3">
                  <c:v>0.13704053708352099</c:v>
                </c:pt>
                <c:pt idx="4">
                  <c:v>0.29394408920779802</c:v>
                </c:pt>
                <c:pt idx="5">
                  <c:v>0.45503594446927298</c:v>
                </c:pt>
                <c:pt idx="6">
                  <c:v>0.370885303709656</c:v>
                </c:pt>
                <c:pt idx="7">
                  <c:v>0.43246525456197599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2-429A-B9F7-CB06BAC637E4}"/>
            </c:ext>
          </c:extLst>
        </c:ser>
        <c:ser>
          <c:idx val="1"/>
          <c:order val="1"/>
          <c:tx>
            <c:strRef>
              <c:f>Foglio1!$B$5</c:f>
              <c:strCache>
                <c:ptCount val="1"/>
                <c:pt idx="0">
                  <c:v>Clocks [mW]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Foglio1!$C$5:$J$5</c:f>
              <c:numCache>
                <c:formatCode>General</c:formatCode>
                <c:ptCount val="8"/>
                <c:pt idx="0">
                  <c:v>1.2154849246144299</c:v>
                </c:pt>
                <c:pt idx="1">
                  <c:v>1.7567886970937299</c:v>
                </c:pt>
                <c:pt idx="2">
                  <c:v>1.09893758781254</c:v>
                </c:pt>
                <c:pt idx="3">
                  <c:v>0.18466742767486699</c:v>
                </c:pt>
                <c:pt idx="4">
                  <c:v>0.38908739225007599</c:v>
                </c:pt>
                <c:pt idx="5">
                  <c:v>1.2157068122178301</c:v>
                </c:pt>
                <c:pt idx="6">
                  <c:v>1.60096236504614</c:v>
                </c:pt>
                <c:pt idx="7">
                  <c:v>1.7903209663927602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2-429A-B9F7-CB06BAC637E4}"/>
            </c:ext>
          </c:extLst>
        </c:ser>
        <c:ser>
          <c:idx val="2"/>
          <c:order val="2"/>
          <c:tx>
            <c:strRef>
              <c:f>Foglio1!$B$6</c:f>
              <c:strCache>
                <c:ptCount val="1"/>
                <c:pt idx="0">
                  <c:v>DSP [mW]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Foglio1!$C$6:$J$6</c:f>
              <c:numCache>
                <c:formatCode>General</c:formatCode>
                <c:ptCount val="8"/>
                <c:pt idx="0">
                  <c:v>0.33501180587336399</c:v>
                </c:pt>
                <c:pt idx="1">
                  <c:v>0.41467678966000698</c:v>
                </c:pt>
                <c:pt idx="2">
                  <c:v>0.32119487877935199</c:v>
                </c:pt>
                <c:pt idx="3">
                  <c:v>1.1144292075187001</c:v>
                </c:pt>
                <c:pt idx="4">
                  <c:v>0.71984034730121504</c:v>
                </c:pt>
                <c:pt idx="5">
                  <c:v>0.34357042750343703</c:v>
                </c:pt>
                <c:pt idx="6">
                  <c:v>0.30379532836377598</c:v>
                </c:pt>
                <c:pt idx="7">
                  <c:v>0.36362622631713698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2-429A-B9F7-CB06BAC637E4}"/>
            </c:ext>
          </c:extLst>
        </c:ser>
        <c:ser>
          <c:idx val="3"/>
          <c:order val="3"/>
          <c:tx>
            <c:strRef>
              <c:f>Foglio1!$B$7</c:f>
              <c:strCache>
                <c:ptCount val="1"/>
                <c:pt idx="0">
                  <c:v>Hierarchical [mW]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Foglio1!$C$7:$J$7</c:f>
              <c:numCache>
                <c:formatCode>General</c:formatCode>
                <c:ptCount val="8"/>
                <c:pt idx="0">
                  <c:v>7.5007653795182696</c:v>
                </c:pt>
                <c:pt idx="1">
                  <c:v>11.036928743123999</c:v>
                </c:pt>
                <c:pt idx="2">
                  <c:v>5.7030776515603101</c:v>
                </c:pt>
                <c:pt idx="3">
                  <c:v>11.542666703462601</c:v>
                </c:pt>
                <c:pt idx="4">
                  <c:v>17.101872712373698</c:v>
                </c:pt>
                <c:pt idx="5">
                  <c:v>7.5166169553995097</c:v>
                </c:pt>
                <c:pt idx="6">
                  <c:v>7.2078881785273605</c:v>
                </c:pt>
                <c:pt idx="7">
                  <c:v>8.4898751229047793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2-429A-B9F7-CB06BAC637E4}"/>
            </c:ext>
          </c:extLst>
        </c:ser>
        <c:ser>
          <c:idx val="4"/>
          <c:order val="4"/>
          <c:tx>
            <c:strRef>
              <c:f>Foglio1!$B$8</c:f>
              <c:strCache>
                <c:ptCount val="1"/>
                <c:pt idx="0">
                  <c:v>I/O [mW]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Foglio1!$C$8:$J$8</c:f>
              <c:numCache>
                <c:formatCode>General</c:formatCode>
                <c:ptCount val="8"/>
                <c:pt idx="0">
                  <c:v>3.56393656693399</c:v>
                </c:pt>
                <c:pt idx="1">
                  <c:v>6.2713813968002796</c:v>
                </c:pt>
                <c:pt idx="2">
                  <c:v>2.45818751864135</c:v>
                </c:pt>
                <c:pt idx="3">
                  <c:v>6.9033727049827602</c:v>
                </c:pt>
                <c:pt idx="4">
                  <c:v>10.6569966301322</c:v>
                </c:pt>
                <c:pt idx="5">
                  <c:v>3.5588422324508397</c:v>
                </c:pt>
                <c:pt idx="6">
                  <c:v>3.2089862506836702</c:v>
                </c:pt>
                <c:pt idx="7">
                  <c:v>3.7935171276330899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2-429A-B9F7-CB06BAC637E4}"/>
            </c:ext>
          </c:extLst>
        </c:ser>
        <c:ser>
          <c:idx val="5"/>
          <c:order val="5"/>
          <c:tx>
            <c:strRef>
              <c:f>Foglio1!$B$9</c:f>
              <c:strCache>
                <c:ptCount val="1"/>
                <c:pt idx="0">
                  <c:v>Logic [mW]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Foglio1!$C$9:$J$9</c:f>
              <c:numCache>
                <c:formatCode>General</c:formatCode>
                <c:ptCount val="8"/>
                <c:pt idx="0">
                  <c:v>0.92148053226992499</c:v>
                </c:pt>
                <c:pt idx="1">
                  <c:v>0.838255044072866</c:v>
                </c:pt>
                <c:pt idx="2">
                  <c:v>0.59028825489804104</c:v>
                </c:pt>
                <c:pt idx="3">
                  <c:v>0.444400648120791</c:v>
                </c:pt>
                <c:pt idx="4">
                  <c:v>1.17661547847092</c:v>
                </c:pt>
                <c:pt idx="5">
                  <c:v>0.92546828091144606</c:v>
                </c:pt>
                <c:pt idx="6">
                  <c:v>0.868793693371117</c:v>
                </c:pt>
                <c:pt idx="7">
                  <c:v>1.02812109980732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42-429A-B9F7-CB06BAC637E4}"/>
            </c:ext>
          </c:extLst>
        </c:ser>
        <c:ser>
          <c:idx val="6"/>
          <c:order val="6"/>
          <c:tx>
            <c:strRef>
              <c:f>Foglio1!$B$10</c:f>
              <c:strCache>
                <c:ptCount val="1"/>
                <c:pt idx="0">
                  <c:v>Set/Reset [mW]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Foglio1!$C$10:$J$10</c:f>
              <c:numCache>
                <c:formatCode>0.00E+00</c:formatCode>
                <c:ptCount val="8"/>
                <c:pt idx="0">
                  <c:v>3.56509622179146E-3</c:v>
                </c:pt>
                <c:pt idx="1">
                  <c:v>3.3474038900749301E-3</c:v>
                </c:pt>
                <c:pt idx="2" formatCode="General">
                  <c:v>4.1604484977142402E-3</c:v>
                </c:pt>
                <c:pt idx="3" formatCode="General">
                  <c:v>8.3271625044289994E-3</c:v>
                </c:pt>
                <c:pt idx="4" formatCode="General">
                  <c:v>1.1189625183760699E-2</c:v>
                </c:pt>
                <c:pt idx="5" formatCode="General">
                  <c:v>3.4978299936483399E-3</c:v>
                </c:pt>
                <c:pt idx="6" formatCode="General">
                  <c:v>3.5650859899760698E-3</c:v>
                </c:pt>
                <c:pt idx="7" formatCode="General">
                  <c:v>3.3865094337670598E-3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42-429A-B9F7-CB06BAC637E4}"/>
            </c:ext>
          </c:extLst>
        </c:ser>
        <c:ser>
          <c:idx val="7"/>
          <c:order val="7"/>
          <c:tx>
            <c:strRef>
              <c:f>Foglio1!$B$11</c:f>
              <c:strCache>
                <c:ptCount val="1"/>
                <c:pt idx="0">
                  <c:v>Data [mW]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Foglio1!$C$11:$J$11</c:f>
              <c:numCache>
                <c:formatCode>General</c:formatCode>
                <c:ptCount val="8"/>
                <c:pt idx="0">
                  <c:v>1.00705958902836</c:v>
                </c:pt>
                <c:pt idx="1">
                  <c:v>1.3819906162098099</c:v>
                </c:pt>
                <c:pt idx="2">
                  <c:v>0.93770562671124902</c:v>
                </c:pt>
                <c:pt idx="3">
                  <c:v>0.643483945168555</c:v>
                </c:pt>
                <c:pt idx="4">
                  <c:v>1.23055081348866</c:v>
                </c:pt>
                <c:pt idx="5">
                  <c:v>1.0144955012947299</c:v>
                </c:pt>
                <c:pt idx="6">
                  <c:v>0.85090019274503004</c:v>
                </c:pt>
                <c:pt idx="7">
                  <c:v>1.07843766454607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42-429A-B9F7-CB06BAC637E4}"/>
            </c:ext>
          </c:extLst>
        </c:ser>
        <c:ser>
          <c:idx val="8"/>
          <c:order val="8"/>
          <c:tx>
            <c:strRef>
              <c:f>Foglio1!$B$12</c:f>
              <c:strCache>
                <c:ptCount val="1"/>
                <c:pt idx="0">
                  <c:v>Total [mW]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Foglio1!$C$12:$J$12</c:f>
              <c:numCache>
                <c:formatCode>General</c:formatCode>
                <c:ptCount val="8"/>
                <c:pt idx="0">
                  <c:v>15.001531363623146</c:v>
                </c:pt>
                <c:pt idx="1">
                  <c:v>22.073856378028722</c:v>
                </c:pt>
                <c:pt idx="2">
                  <c:v>11.406155184431555</c:v>
                </c:pt>
                <c:pt idx="3">
                  <c:v>20.978388336516225</c:v>
                </c:pt>
                <c:pt idx="4">
                  <c:v>31.580097088408326</c:v>
                </c:pt>
                <c:pt idx="5">
                  <c:v>15.033233984240713</c:v>
                </c:pt>
                <c:pt idx="6">
                  <c:v>14.415776398436726</c:v>
                </c:pt>
                <c:pt idx="7">
                  <c:v>16.979749971596899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42-429A-B9F7-CB06BAC6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60288"/>
        <c:axId val="870359808"/>
      </c:lineChart>
      <c:catAx>
        <c:axId val="87036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59808"/>
        <c:crosses val="autoZero"/>
        <c:auto val="1"/>
        <c:lblAlgn val="ctr"/>
        <c:lblOffset val="100"/>
        <c:noMultiLvlLbl val="0"/>
      </c:catAx>
      <c:valAx>
        <c:axId val="87035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6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Dynamic Power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Foglio1!$C$30</c:f>
              <c:strCache>
                <c:ptCount val="1"/>
                <c:pt idx="0">
                  <c:v>Clock Enable [mW]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Foglio1!$D$30:$J$30</c:f>
              <c:numCache>
                <c:formatCode>General</c:formatCode>
                <c:ptCount val="7"/>
                <c:pt idx="0">
                  <c:v>-8.3739781985058992E-2</c:v>
                </c:pt>
                <c:pt idx="1">
                  <c:v>-0.16162425163201899</c:v>
                </c:pt>
                <c:pt idx="2">
                  <c:v>-0.317186932079494</c:v>
                </c:pt>
                <c:pt idx="3">
                  <c:v>-0.16028337995521696</c:v>
                </c:pt>
                <c:pt idx="4">
                  <c:v>8.0847530625799413E-4</c:v>
                </c:pt>
                <c:pt idx="5">
                  <c:v>-8.3342165453358985E-2</c:v>
                </c:pt>
                <c:pt idx="6">
                  <c:v>-2.1762214601038998E-2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A9E-AC6F-534ADBE5033F}"/>
            </c:ext>
          </c:extLst>
        </c:ser>
        <c:ser>
          <c:idx val="1"/>
          <c:order val="1"/>
          <c:tx>
            <c:strRef>
              <c:f>Foglio1!$C$31</c:f>
              <c:strCache>
                <c:ptCount val="1"/>
                <c:pt idx="0">
                  <c:v>Clocks [mW]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Foglio1!$D$31:$J$31</c:f>
              <c:numCache>
                <c:formatCode>General</c:formatCode>
                <c:ptCount val="7"/>
                <c:pt idx="0">
                  <c:v>0.54130377247929995</c:v>
                </c:pt>
                <c:pt idx="1">
                  <c:v>-0.11654733680188989</c:v>
                </c:pt>
                <c:pt idx="2">
                  <c:v>-1.0308174969395629</c:v>
                </c:pt>
                <c:pt idx="3">
                  <c:v>-0.82639753236435398</c:v>
                </c:pt>
                <c:pt idx="4">
                  <c:v>2.2188760340013935E-4</c:v>
                </c:pt>
                <c:pt idx="5">
                  <c:v>0.38547744043171006</c:v>
                </c:pt>
                <c:pt idx="6">
                  <c:v>0.57483604177833025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A9E-AC6F-534ADBE5033F}"/>
            </c:ext>
          </c:extLst>
        </c:ser>
        <c:ser>
          <c:idx val="2"/>
          <c:order val="2"/>
          <c:tx>
            <c:strRef>
              <c:f>Foglio1!$C$32</c:f>
              <c:strCache>
                <c:ptCount val="1"/>
                <c:pt idx="0">
                  <c:v>DSP [mW]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Foglio1!$D$32:$J$32</c:f>
              <c:numCache>
                <c:formatCode>General</c:formatCode>
                <c:ptCount val="7"/>
                <c:pt idx="0">
                  <c:v>7.9664983786642996E-2</c:v>
                </c:pt>
                <c:pt idx="1">
                  <c:v>-1.3816927094011999E-2</c:v>
                </c:pt>
                <c:pt idx="2">
                  <c:v>0.77941740164533613</c:v>
                </c:pt>
                <c:pt idx="3">
                  <c:v>0.38482854142785106</c:v>
                </c:pt>
                <c:pt idx="4">
                  <c:v>8.5586216300730378E-3</c:v>
                </c:pt>
                <c:pt idx="5">
                  <c:v>-3.1216477509588003E-2</c:v>
                </c:pt>
                <c:pt idx="6">
                  <c:v>2.8614420443772992E-2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1-4A9E-AC6F-534ADBE5033F}"/>
            </c:ext>
          </c:extLst>
        </c:ser>
        <c:ser>
          <c:idx val="3"/>
          <c:order val="3"/>
          <c:tx>
            <c:strRef>
              <c:f>Foglio1!$C$33</c:f>
              <c:strCache>
                <c:ptCount val="1"/>
                <c:pt idx="0">
                  <c:v>Hierarchical [mW]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Foglio1!$D$33:$J$33</c:f>
              <c:numCache>
                <c:formatCode>General</c:formatCode>
                <c:ptCount val="7"/>
                <c:pt idx="0">
                  <c:v>3.5361633636057297</c:v>
                </c:pt>
                <c:pt idx="1">
                  <c:v>-1.7976877279579595</c:v>
                </c:pt>
                <c:pt idx="2">
                  <c:v>4.0419013239443311</c:v>
                </c:pt>
                <c:pt idx="3">
                  <c:v>9.6011073328554275</c:v>
                </c:pt>
                <c:pt idx="4">
                  <c:v>1.5851575881240088E-2</c:v>
                </c:pt>
                <c:pt idx="5">
                  <c:v>-0.29287720099090908</c:v>
                </c:pt>
                <c:pt idx="6">
                  <c:v>0.9891097433865097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51-4A9E-AC6F-534ADBE5033F}"/>
            </c:ext>
          </c:extLst>
        </c:ser>
        <c:ser>
          <c:idx val="4"/>
          <c:order val="4"/>
          <c:tx>
            <c:strRef>
              <c:f>Foglio1!$C$34</c:f>
              <c:strCache>
                <c:ptCount val="1"/>
                <c:pt idx="0">
                  <c:v>I/O [mW]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Foglio1!$D$34:$J$34</c:f>
              <c:numCache>
                <c:formatCode>General</c:formatCode>
                <c:ptCount val="7"/>
                <c:pt idx="0">
                  <c:v>2.7074448298662896</c:v>
                </c:pt>
                <c:pt idx="1">
                  <c:v>-1.10574904829264</c:v>
                </c:pt>
                <c:pt idx="2">
                  <c:v>3.3394361380487703</c:v>
                </c:pt>
                <c:pt idx="3">
                  <c:v>7.0930600631982106</c:v>
                </c:pt>
                <c:pt idx="4">
                  <c:v>-5.0943344831502202E-3</c:v>
                </c:pt>
                <c:pt idx="5">
                  <c:v>-0.35495031625031981</c:v>
                </c:pt>
                <c:pt idx="6">
                  <c:v>0.22958056069909993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51-4A9E-AC6F-534ADBE5033F}"/>
            </c:ext>
          </c:extLst>
        </c:ser>
        <c:ser>
          <c:idx val="5"/>
          <c:order val="5"/>
          <c:tx>
            <c:strRef>
              <c:f>Foglio1!$C$35</c:f>
              <c:strCache>
                <c:ptCount val="1"/>
                <c:pt idx="0">
                  <c:v>Logic [mW]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Foglio1!$D$35:$J$35</c:f>
              <c:numCache>
                <c:formatCode>General</c:formatCode>
                <c:ptCount val="7"/>
                <c:pt idx="0">
                  <c:v>-8.3225488197058994E-2</c:v>
                </c:pt>
                <c:pt idx="1">
                  <c:v>-0.33119227737188395</c:v>
                </c:pt>
                <c:pt idx="2">
                  <c:v>-0.47707988414913399</c:v>
                </c:pt>
                <c:pt idx="3">
                  <c:v>0.25513494620099497</c:v>
                </c:pt>
                <c:pt idx="4">
                  <c:v>3.9877486415210717E-3</c:v>
                </c:pt>
                <c:pt idx="5">
                  <c:v>-5.2686838898807986E-2</c:v>
                </c:pt>
                <c:pt idx="6">
                  <c:v>0.10664056753739504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51-4A9E-AC6F-534ADBE5033F}"/>
            </c:ext>
          </c:extLst>
        </c:ser>
        <c:ser>
          <c:idx val="6"/>
          <c:order val="6"/>
          <c:tx>
            <c:strRef>
              <c:f>Foglio1!$C$36</c:f>
              <c:strCache>
                <c:ptCount val="1"/>
                <c:pt idx="0">
                  <c:v>Set/Reset [mW]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Foglio1!$D$36:$J$36</c:f>
              <c:numCache>
                <c:formatCode>General</c:formatCode>
                <c:ptCount val="7"/>
                <c:pt idx="0">
                  <c:v>-2.1769233171652991E-4</c:v>
                </c:pt>
                <c:pt idx="1">
                  <c:v>5.9535227592278023E-4</c:v>
                </c:pt>
                <c:pt idx="2">
                  <c:v>4.7620662826375389E-3</c:v>
                </c:pt>
                <c:pt idx="3">
                  <c:v>7.6245289619692388E-3</c:v>
                </c:pt>
                <c:pt idx="4">
                  <c:v>-6.7266228143120135E-5</c:v>
                </c:pt>
                <c:pt idx="5">
                  <c:v>-1.0231815390174953E-8</c:v>
                </c:pt>
                <c:pt idx="6">
                  <c:v>-1.7858678802440018E-4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51-4A9E-AC6F-534ADBE5033F}"/>
            </c:ext>
          </c:extLst>
        </c:ser>
        <c:ser>
          <c:idx val="7"/>
          <c:order val="7"/>
          <c:tx>
            <c:strRef>
              <c:f>Foglio1!$C$37</c:f>
              <c:strCache>
                <c:ptCount val="1"/>
                <c:pt idx="0">
                  <c:v>Data [mW]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Foglio1!$D$37:$J$37</c:f>
              <c:numCache>
                <c:formatCode>General</c:formatCode>
                <c:ptCount val="7"/>
                <c:pt idx="0">
                  <c:v>0.37493102718144988</c:v>
                </c:pt>
                <c:pt idx="1">
                  <c:v>-6.9353962317110995E-2</c:v>
                </c:pt>
                <c:pt idx="2">
                  <c:v>-0.36357564385980501</c:v>
                </c:pt>
                <c:pt idx="3">
                  <c:v>0.22349122446030001</c:v>
                </c:pt>
                <c:pt idx="4">
                  <c:v>7.4359122663698596E-3</c:v>
                </c:pt>
                <c:pt idx="5">
                  <c:v>-0.15615939628332998</c:v>
                </c:pt>
                <c:pt idx="6">
                  <c:v>7.1378075517710027E-2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51-4A9E-AC6F-534ADBE5033F}"/>
            </c:ext>
          </c:extLst>
        </c:ser>
        <c:ser>
          <c:idx val="8"/>
          <c:order val="8"/>
          <c:tx>
            <c:strRef>
              <c:f>Foglio1!$C$38</c:f>
              <c:strCache>
                <c:ptCount val="1"/>
                <c:pt idx="0">
                  <c:v>Total [mW]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Foglio1!$D$38:$J$38</c:f>
              <c:numCache>
                <c:formatCode>General</c:formatCode>
                <c:ptCount val="7"/>
                <c:pt idx="0">
                  <c:v>7.0723250144055765</c:v>
                </c:pt>
                <c:pt idx="1">
                  <c:v>-3.5953761791915912</c:v>
                </c:pt>
                <c:pt idx="2">
                  <c:v>5.9768569728930796</c:v>
                </c:pt>
                <c:pt idx="3">
                  <c:v>16.578565724785179</c:v>
                </c:pt>
                <c:pt idx="4">
                  <c:v>3.1702620617567234E-2</c:v>
                </c:pt>
                <c:pt idx="5">
                  <c:v>-0.58575496518641934</c:v>
                </c:pt>
                <c:pt idx="6">
                  <c:v>1.9782186079737532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1-4A9E-AC6F-534ADBE50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935639695"/>
        <c:axId val="935637775"/>
      </c:barChart>
      <c:catAx>
        <c:axId val="93563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7775"/>
        <c:crosses val="autoZero"/>
        <c:auto val="1"/>
        <c:lblAlgn val="ctr"/>
        <c:lblOffset val="100"/>
        <c:noMultiLvlLbl val="0"/>
      </c:catAx>
      <c:valAx>
        <c:axId val="93563777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63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Foglio1!$B$14</c:f>
              <c:strCache>
                <c:ptCount val="1"/>
                <c:pt idx="0">
                  <c:v>LUT [#]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Foglio1!$C$14:$J$14</c:f>
              <c:numCache>
                <c:formatCode>General</c:formatCode>
                <c:ptCount val="8"/>
                <c:pt idx="0">
                  <c:v>275</c:v>
                </c:pt>
                <c:pt idx="1">
                  <c:v>270</c:v>
                </c:pt>
                <c:pt idx="2">
                  <c:v>158</c:v>
                </c:pt>
                <c:pt idx="3">
                  <c:v>217</c:v>
                </c:pt>
                <c:pt idx="4">
                  <c:v>452</c:v>
                </c:pt>
                <c:pt idx="5">
                  <c:v>275</c:v>
                </c:pt>
                <c:pt idx="6">
                  <c:v>276</c:v>
                </c:pt>
                <c:pt idx="7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A-469D-B527-84693B19B69F}"/>
            </c:ext>
          </c:extLst>
        </c:ser>
        <c:ser>
          <c:idx val="1"/>
          <c:order val="1"/>
          <c:tx>
            <c:strRef>
              <c:f>Foglio1!$B$15</c:f>
              <c:strCache>
                <c:ptCount val="1"/>
                <c:pt idx="0">
                  <c:v>LUTRAM [#]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Foglio1!$C$15:$J$15</c:f>
              <c:numCache>
                <c:formatCode>General</c:formatCode>
                <c:ptCount val="8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A-469D-B527-84693B19B69F}"/>
            </c:ext>
          </c:extLst>
        </c:ser>
        <c:ser>
          <c:idx val="2"/>
          <c:order val="2"/>
          <c:tx>
            <c:strRef>
              <c:f>Foglio1!$B$16</c:f>
              <c:strCache>
                <c:ptCount val="1"/>
                <c:pt idx="0">
                  <c:v>FF [#]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Foglio1!$C$16:$J$16</c:f>
              <c:numCache>
                <c:formatCode>General</c:formatCode>
                <c:ptCount val="8"/>
                <c:pt idx="0">
                  <c:v>160</c:v>
                </c:pt>
                <c:pt idx="1">
                  <c:v>134</c:v>
                </c:pt>
                <c:pt idx="2">
                  <c:v>106</c:v>
                </c:pt>
                <c:pt idx="3">
                  <c:v>122</c:v>
                </c:pt>
                <c:pt idx="4">
                  <c:v>354</c:v>
                </c:pt>
                <c:pt idx="5">
                  <c:v>160</c:v>
                </c:pt>
                <c:pt idx="6">
                  <c:v>226</c:v>
                </c:pt>
                <c:pt idx="7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A-469D-B527-84693B19B69F}"/>
            </c:ext>
          </c:extLst>
        </c:ser>
        <c:ser>
          <c:idx val="3"/>
          <c:order val="3"/>
          <c:tx>
            <c:strRef>
              <c:f>Foglio1!$B$17</c:f>
              <c:strCache>
                <c:ptCount val="1"/>
                <c:pt idx="0">
                  <c:v>BRAM [#]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Foglio1!$C$17:$J$17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A-469D-B527-84693B19B69F}"/>
            </c:ext>
          </c:extLst>
        </c:ser>
        <c:ser>
          <c:idx val="4"/>
          <c:order val="4"/>
          <c:tx>
            <c:strRef>
              <c:f>Foglio1!$B$18</c:f>
              <c:strCache>
                <c:ptCount val="1"/>
                <c:pt idx="0">
                  <c:v>DSP [#]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Foglio1!$C$18:$J$18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A-469D-B527-84693B19B69F}"/>
            </c:ext>
          </c:extLst>
        </c:ser>
        <c:ser>
          <c:idx val="5"/>
          <c:order val="5"/>
          <c:tx>
            <c:strRef>
              <c:f>Foglio1!$B$19</c:f>
              <c:strCache>
                <c:ptCount val="1"/>
                <c:pt idx="0">
                  <c:v>IO [#]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Foglio1!$C$19:$J$19</c:f>
              <c:numCache>
                <c:formatCode>General</c:formatCode>
                <c:ptCount val="8"/>
                <c:pt idx="0">
                  <c:v>71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A-469D-B527-84693B19B69F}"/>
            </c:ext>
          </c:extLst>
        </c:ser>
        <c:ser>
          <c:idx val="6"/>
          <c:order val="6"/>
          <c:tx>
            <c:strRef>
              <c:f>Foglio1!$B$20</c:f>
              <c:strCache>
                <c:ptCount val="1"/>
                <c:pt idx="0">
                  <c:v>BUFG [#]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Foglio1!$C$2:$J$2</c:f>
              <c:strCache>
                <c:ptCount val="8"/>
                <c:pt idx="0">
                  <c:v>Unoptimized Solution</c:v>
                </c:pt>
                <c:pt idx="1">
                  <c:v>Code Hoisting Solution</c:v>
                </c:pt>
                <c:pt idx="2">
                  <c:v>Loop Fission Solution</c:v>
                </c:pt>
                <c:pt idx="3">
                  <c:v>Loop Unrolling Solution Factor=2</c:v>
                </c:pt>
                <c:pt idx="4">
                  <c:v>Loop Unrolling Solution Factor=4</c:v>
                </c:pt>
                <c:pt idx="5">
                  <c:v>Operation Chaining Solution CLK=10ns</c:v>
                </c:pt>
                <c:pt idx="6">
                  <c:v>Operation Chaining Solution CLK=9ns</c:v>
                </c:pt>
                <c:pt idx="7">
                  <c:v>Operation Chaining Solution CLK=8ns</c:v>
                </c:pt>
              </c:strCache>
            </c:strRef>
          </c:cat>
          <c:val>
            <c:numRef>
              <c:f>Foglio1!$C$20:$J$20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A-469D-B527-84693B19B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86351"/>
        <c:axId val="1358484431"/>
      </c:lineChart>
      <c:catAx>
        <c:axId val="135848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4431"/>
        <c:crosses val="autoZero"/>
        <c:auto val="1"/>
        <c:lblAlgn val="ctr"/>
        <c:lblOffset val="100"/>
        <c:noMultiLvlLbl val="0"/>
      </c:catAx>
      <c:valAx>
        <c:axId val="135848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8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Utilization Analysis (Absolute Error)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Foglio1!$C$40</c:f>
              <c:strCache>
                <c:ptCount val="1"/>
                <c:pt idx="0">
                  <c:v>LUT [#]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Foglio1!$D$40:$J$40</c:f>
              <c:numCache>
                <c:formatCode>General</c:formatCode>
                <c:ptCount val="7"/>
                <c:pt idx="0">
                  <c:v>-5</c:v>
                </c:pt>
                <c:pt idx="1">
                  <c:v>-117</c:v>
                </c:pt>
                <c:pt idx="2">
                  <c:v>-58</c:v>
                </c:pt>
                <c:pt idx="3">
                  <c:v>177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3-4910-9F61-ABADC89AD800}"/>
            </c:ext>
          </c:extLst>
        </c:ser>
        <c:ser>
          <c:idx val="1"/>
          <c:order val="1"/>
          <c:tx>
            <c:strRef>
              <c:f>Foglio1!$C$41</c:f>
              <c:strCache>
                <c:ptCount val="1"/>
                <c:pt idx="0">
                  <c:v>LUTRAM [#]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Foglio1!$D$41:$J$41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-32</c:v>
                </c:pt>
                <c:pt idx="3">
                  <c:v>-32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3-4910-9F61-ABADC89AD800}"/>
            </c:ext>
          </c:extLst>
        </c:ser>
        <c:ser>
          <c:idx val="2"/>
          <c:order val="2"/>
          <c:tx>
            <c:strRef>
              <c:f>Foglio1!$C$42</c:f>
              <c:strCache>
                <c:ptCount val="1"/>
                <c:pt idx="0">
                  <c:v>FF [#]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Foglio1!$D$42:$J$42</c:f>
              <c:numCache>
                <c:formatCode>General</c:formatCode>
                <c:ptCount val="7"/>
                <c:pt idx="0">
                  <c:v>-26</c:v>
                </c:pt>
                <c:pt idx="1">
                  <c:v>-54</c:v>
                </c:pt>
                <c:pt idx="2">
                  <c:v>-38</c:v>
                </c:pt>
                <c:pt idx="3">
                  <c:v>194</c:v>
                </c:pt>
                <c:pt idx="4">
                  <c:v>0</c:v>
                </c:pt>
                <c:pt idx="5">
                  <c:v>66</c:v>
                </c:pt>
                <c:pt idx="6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3-4910-9F61-ABADC89AD800}"/>
            </c:ext>
          </c:extLst>
        </c:ser>
        <c:ser>
          <c:idx val="3"/>
          <c:order val="3"/>
          <c:tx>
            <c:strRef>
              <c:f>Foglio1!$C$43</c:f>
              <c:strCache>
                <c:ptCount val="1"/>
                <c:pt idx="0">
                  <c:v>BRAM[#]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Foglio1!$D$43:$J$43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3-4910-9F61-ABADC89AD800}"/>
            </c:ext>
          </c:extLst>
        </c:ser>
        <c:ser>
          <c:idx val="4"/>
          <c:order val="4"/>
          <c:tx>
            <c:strRef>
              <c:f>Foglio1!$C$44</c:f>
              <c:strCache>
                <c:ptCount val="1"/>
                <c:pt idx="0">
                  <c:v>DSP [#]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Foglio1!$D$44:$J$44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3-4910-9F61-ABADC89AD800}"/>
            </c:ext>
          </c:extLst>
        </c:ser>
        <c:ser>
          <c:idx val="5"/>
          <c:order val="5"/>
          <c:tx>
            <c:strRef>
              <c:f>Foglio1!$C$45</c:f>
              <c:strCache>
                <c:ptCount val="1"/>
                <c:pt idx="0">
                  <c:v>IO [#]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Foglio1!$D$45:$J$45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3-4910-9F61-ABADC89AD800}"/>
            </c:ext>
          </c:extLst>
        </c:ser>
        <c:ser>
          <c:idx val="6"/>
          <c:order val="6"/>
          <c:tx>
            <c:strRef>
              <c:f>Foglio1!$C$46</c:f>
              <c:strCache>
                <c:ptCount val="1"/>
                <c:pt idx="0">
                  <c:v>BUFG [#]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Foglio1!$D$28:$J$28</c:f>
              <c:strCache>
                <c:ptCount val="7"/>
                <c:pt idx="0">
                  <c:v>Code Hoisting Solution</c:v>
                </c:pt>
                <c:pt idx="1">
                  <c:v>Loop Fission Solution</c:v>
                </c:pt>
                <c:pt idx="2">
                  <c:v>Loop Unrolling Solution Factor=2</c:v>
                </c:pt>
                <c:pt idx="3">
                  <c:v>Loop Unrolling Solution Factor=4</c:v>
                </c:pt>
                <c:pt idx="4">
                  <c:v>Operation Chaining Solution CLK=10ns</c:v>
                </c:pt>
                <c:pt idx="5">
                  <c:v>Operation Chaining Solution CLK=9ns</c:v>
                </c:pt>
                <c:pt idx="6">
                  <c:v>Operation Chaining Solution CLK=8ns</c:v>
                </c:pt>
              </c:strCache>
            </c:strRef>
          </c:cat>
          <c:val>
            <c:numRef>
              <c:f>Foglio1!$D$46:$J$46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3-4910-9F61-ABADC89AD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1394628447"/>
        <c:axId val="1394626527"/>
      </c:barChart>
      <c:catAx>
        <c:axId val="13946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6527"/>
        <c:crosses val="autoZero"/>
        <c:auto val="1"/>
        <c:lblAlgn val="ctr"/>
        <c:lblOffset val="100"/>
        <c:noMultiLvlLbl val="0"/>
      </c:catAx>
      <c:valAx>
        <c:axId val="13946265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27454</xdr:colOff>
      <xdr:row>51</xdr:row>
      <xdr:rowOff>153400</xdr:rowOff>
    </xdr:from>
    <xdr:to>
      <xdr:col>6</xdr:col>
      <xdr:colOff>334804</xdr:colOff>
      <xdr:row>71</xdr:row>
      <xdr:rowOff>129961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EA15B43-FEF9-6099-FAD9-431308EB6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3596819</xdr:colOff>
      <xdr:row>51</xdr:row>
      <xdr:rowOff>127454</xdr:rowOff>
    </xdr:from>
    <xdr:to>
      <xdr:col>17</xdr:col>
      <xdr:colOff>335642</xdr:colOff>
      <xdr:row>71</xdr:row>
      <xdr:rowOff>188233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844EF450-BADA-6BD5-6B89-825C31FF4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494108</xdr:colOff>
      <xdr:row>51</xdr:row>
      <xdr:rowOff>138508</xdr:rowOff>
    </xdr:from>
    <xdr:to>
      <xdr:col>7</xdr:col>
      <xdr:colOff>3222625</xdr:colOff>
      <xdr:row>71</xdr:row>
      <xdr:rowOff>121975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7F58DC4-5BEC-94E9-A1A5-5AA7227A8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545701</xdr:colOff>
      <xdr:row>51</xdr:row>
      <xdr:rowOff>130569</xdr:rowOff>
    </xdr:from>
    <xdr:to>
      <xdr:col>28</xdr:col>
      <xdr:colOff>285750</xdr:colOff>
      <xdr:row>71</xdr:row>
      <xdr:rowOff>186827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381D31-A6C4-3EC4-BA30-73AB09A9A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FD06-CF12-407A-B05E-22928E94B38D}">
  <dimension ref="B2:J50"/>
  <sheetViews>
    <sheetView tabSelected="1" zoomScale="60" zoomScaleNormal="60" workbookViewId="0">
      <selection activeCell="U38" sqref="U38"/>
    </sheetView>
  </sheetViews>
  <sheetFormatPr defaultRowHeight="15" x14ac:dyDescent="0.25"/>
  <cols>
    <col min="1" max="1" width="9.140625" style="1"/>
    <col min="2" max="3" width="30.42578125" style="1" bestFit="1" customWidth="1"/>
    <col min="4" max="4" width="27.5703125" style="1" bestFit="1" customWidth="1"/>
    <col min="5" max="5" width="25.85546875" style="1" bestFit="1" customWidth="1"/>
    <col min="6" max="7" width="38.7109375" style="1" bestFit="1" customWidth="1"/>
    <col min="8" max="8" width="46" style="1" bestFit="1" customWidth="1"/>
    <col min="9" max="10" width="44.5703125" style="1" bestFit="1" customWidth="1"/>
    <col min="11" max="16384" width="9.140625" style="1"/>
  </cols>
  <sheetData>
    <row r="2" spans="2:10" ht="18.75" x14ac:dyDescent="0.25">
      <c r="B2" s="22" t="s">
        <v>25</v>
      </c>
      <c r="C2" s="2" t="s">
        <v>0</v>
      </c>
      <c r="D2" s="2" t="s">
        <v>2</v>
      </c>
      <c r="E2" s="2" t="s">
        <v>1</v>
      </c>
      <c r="F2" s="2" t="s">
        <v>27</v>
      </c>
      <c r="G2" s="2" t="s">
        <v>28</v>
      </c>
      <c r="H2" s="2" t="s">
        <v>30</v>
      </c>
      <c r="I2" s="2" t="s">
        <v>31</v>
      </c>
      <c r="J2" s="2" t="s">
        <v>32</v>
      </c>
    </row>
    <row r="3" spans="2:10" ht="15.75" x14ac:dyDescent="0.25">
      <c r="B3" s="23"/>
      <c r="C3" s="24" t="s">
        <v>22</v>
      </c>
      <c r="D3" s="24"/>
      <c r="E3" s="24"/>
      <c r="F3" s="24"/>
      <c r="G3" s="24"/>
      <c r="H3" s="24"/>
      <c r="I3" s="24"/>
    </row>
    <row r="4" spans="2:10" x14ac:dyDescent="0.25">
      <c r="B4" s="9" t="s">
        <v>12</v>
      </c>
      <c r="C4" s="3">
        <f>1000*0.000454227469163015</f>
        <v>0.45422746916301499</v>
      </c>
      <c r="D4" s="9">
        <f>1000*0.000370487687177956</f>
        <v>0.37048768717795599</v>
      </c>
      <c r="E4" s="4">
        <f>1000*0.000292603217530996</f>
        <v>0.292603217530996</v>
      </c>
      <c r="F4" s="9">
        <f>1000*0.000137040537083521</f>
        <v>0.13704053708352099</v>
      </c>
      <c r="G4" s="9">
        <f>1000*0.000293944089207798</f>
        <v>0.29394408920779802</v>
      </c>
      <c r="H4" s="9">
        <f>1000*0.000455035944469273</f>
        <v>0.45503594446927298</v>
      </c>
      <c r="I4" s="9">
        <f>1000*0.000370885303709656</f>
        <v>0.370885303709656</v>
      </c>
      <c r="J4" s="9">
        <f>1000*0.000432465254561976</f>
        <v>0.43246525456197599</v>
      </c>
    </row>
    <row r="5" spans="2:10" x14ac:dyDescent="0.25">
      <c r="B5" s="10" t="s">
        <v>13</v>
      </c>
      <c r="C5" s="1">
        <f>1000*0.00121548492461443</f>
        <v>1.2154849246144299</v>
      </c>
      <c r="D5" s="10">
        <f>1000*0.00175678869709373</f>
        <v>1.7567886970937299</v>
      </c>
      <c r="E5" s="5">
        <f>1000*0.00109893758781254</f>
        <v>1.09893758781254</v>
      </c>
      <c r="F5" s="10">
        <f>1000*0.000184667427674867</f>
        <v>0.18466742767486699</v>
      </c>
      <c r="G5" s="10">
        <f>1000*0.000389087392250076</f>
        <v>0.38908739225007599</v>
      </c>
      <c r="H5" s="10">
        <f>1000*0.00121570681221783</f>
        <v>1.2157068122178301</v>
      </c>
      <c r="I5" s="10">
        <f>1000*0.00160096236504614</f>
        <v>1.60096236504614</v>
      </c>
      <c r="J5" s="10">
        <f>1000*0.00179032096639276</f>
        <v>1.7903209663927602</v>
      </c>
    </row>
    <row r="6" spans="2:10" x14ac:dyDescent="0.25">
      <c r="B6" s="10" t="s">
        <v>14</v>
      </c>
      <c r="C6" s="1">
        <f>1000*0.000335011805873364</f>
        <v>0.33501180587336399</v>
      </c>
      <c r="D6" s="10">
        <f>1000*0.000414676789660007</f>
        <v>0.41467678966000698</v>
      </c>
      <c r="E6" s="5">
        <f>1000*0.000321194878779352</f>
        <v>0.32119487877935199</v>
      </c>
      <c r="F6" s="10">
        <f>1000*0.0011144292075187</f>
        <v>1.1144292075187001</v>
      </c>
      <c r="G6" s="10">
        <f>1000*0.000719840347301215</f>
        <v>0.71984034730121504</v>
      </c>
      <c r="H6" s="10">
        <f>1000*0.000343570427503437</f>
        <v>0.34357042750343703</v>
      </c>
      <c r="I6" s="10">
        <f>1000*0.000303795328363776</f>
        <v>0.30379532836377598</v>
      </c>
      <c r="J6" s="10">
        <f>1000*0.000363626226317137</f>
        <v>0.36362622631713698</v>
      </c>
    </row>
    <row r="7" spans="2:10" x14ac:dyDescent="0.25">
      <c r="B7" s="10" t="s">
        <v>15</v>
      </c>
      <c r="C7" s="1">
        <f>1000*0.00750076537951827</f>
        <v>7.5007653795182696</v>
      </c>
      <c r="D7" s="10">
        <f>1000*0.011036928743124</f>
        <v>11.036928743123999</v>
      </c>
      <c r="E7" s="5">
        <f>1000*0.00570307765156031</f>
        <v>5.7030776515603101</v>
      </c>
      <c r="F7" s="10">
        <f>1000*0.0115426667034626</f>
        <v>11.542666703462601</v>
      </c>
      <c r="G7" s="10">
        <f>1000*0.0171018727123737</f>
        <v>17.101872712373698</v>
      </c>
      <c r="H7" s="10">
        <f>1000*0.00751661695539951</f>
        <v>7.5166169553995097</v>
      </c>
      <c r="I7" s="10">
        <f>1000*0.00720788817852736</f>
        <v>7.2078881785273605</v>
      </c>
      <c r="J7" s="10">
        <f>1000*0.00848987512290478</f>
        <v>8.4898751229047793</v>
      </c>
    </row>
    <row r="8" spans="2:10" x14ac:dyDescent="0.25">
      <c r="B8" s="10" t="s">
        <v>16</v>
      </c>
      <c r="C8" s="1">
        <f>1000*0.00356393656693399</f>
        <v>3.56393656693399</v>
      </c>
      <c r="D8" s="10">
        <f>1000*0.00627138139680028</f>
        <v>6.2713813968002796</v>
      </c>
      <c r="E8" s="5">
        <f>1000*0.00245818751864135</f>
        <v>2.45818751864135</v>
      </c>
      <c r="F8" s="10">
        <f>1000*0.00690337270498276</f>
        <v>6.9033727049827602</v>
      </c>
      <c r="G8" s="10">
        <f>1000*0.0106569966301322</f>
        <v>10.6569966301322</v>
      </c>
      <c r="H8" s="10">
        <f>1000*0.00355884223245084</f>
        <v>3.5588422324508397</v>
      </c>
      <c r="I8" s="10">
        <f>1000*0.00320898625068367</f>
        <v>3.2089862506836702</v>
      </c>
      <c r="J8" s="10">
        <f>1000*0.00379351712763309</f>
        <v>3.7935171276330899</v>
      </c>
    </row>
    <row r="9" spans="2:10" x14ac:dyDescent="0.25">
      <c r="B9" s="10" t="s">
        <v>17</v>
      </c>
      <c r="C9" s="1">
        <f>1000*0.000921480532269925</f>
        <v>0.92148053226992499</v>
      </c>
      <c r="D9" s="10">
        <f>1000*0.000838255044072866</f>
        <v>0.838255044072866</v>
      </c>
      <c r="E9" s="5">
        <f>1000*0.000590288254898041</f>
        <v>0.59028825489804104</v>
      </c>
      <c r="F9" s="10">
        <f>1000*0.000444400648120791</f>
        <v>0.444400648120791</v>
      </c>
      <c r="G9" s="10">
        <f>1000*0.00117661547847092</f>
        <v>1.17661547847092</v>
      </c>
      <c r="H9" s="10">
        <f>1000*0.000925468280911446</f>
        <v>0.92546828091144606</v>
      </c>
      <c r="I9" s="10">
        <f>1000*0.000868793693371117</f>
        <v>0.868793693371117</v>
      </c>
      <c r="J9" s="10">
        <f>1000*0.00102812109980732</f>
        <v>1.02812109980732</v>
      </c>
    </row>
    <row r="10" spans="2:10" x14ac:dyDescent="0.25">
      <c r="B10" s="10" t="s">
        <v>18</v>
      </c>
      <c r="C10" s="13">
        <f>1000*3.56509622179146E-06</f>
        <v>3.56509622179146E-3</v>
      </c>
      <c r="D10" s="14">
        <f>1000*3.34740389007493E-06</f>
        <v>3.3474038900749301E-3</v>
      </c>
      <c r="E10" s="5">
        <f>1000*4.16044849771424E-06</f>
        <v>4.1604484977142402E-3</v>
      </c>
      <c r="F10" s="10">
        <f>1000*0.000008327162504429</f>
        <v>8.3271625044289994E-3</v>
      </c>
      <c r="G10" s="10">
        <f>1000*0.0000111896251837607</f>
        <v>1.1189625183760699E-2</v>
      </c>
      <c r="H10" s="10">
        <f>1000*3.49782999364834E-06</f>
        <v>3.4978299936483399E-3</v>
      </c>
      <c r="I10" s="10">
        <f>1000*3.56508598997607E-06</f>
        <v>3.5650859899760698E-3</v>
      </c>
      <c r="J10" s="10">
        <f>1000*3.38650943376706E-06</f>
        <v>3.3865094337670598E-3</v>
      </c>
    </row>
    <row r="11" spans="2:10" x14ac:dyDescent="0.25">
      <c r="B11" s="10" t="s">
        <v>19</v>
      </c>
      <c r="C11" s="1">
        <f>1000*0.00100705958902836</f>
        <v>1.00705958902836</v>
      </c>
      <c r="D11" s="10">
        <f>1000*0.00138199061620981</f>
        <v>1.3819906162098099</v>
      </c>
      <c r="E11" s="5">
        <f>1000*0.000937705626711249</f>
        <v>0.93770562671124902</v>
      </c>
      <c r="F11" s="10">
        <f>1000*0.000643483945168555</f>
        <v>0.643483945168555</v>
      </c>
      <c r="G11" s="10">
        <f>1000*0.00123055081348866</f>
        <v>1.23055081348866</v>
      </c>
      <c r="H11" s="10">
        <f>1000*0.00101449550129473</f>
        <v>1.0144955012947299</v>
      </c>
      <c r="I11" s="10">
        <f>1000*0.00085090019274503</f>
        <v>0.85090019274503004</v>
      </c>
      <c r="J11" s="10">
        <f>1000*0.00107843766454607</f>
        <v>1.07843766454607</v>
      </c>
    </row>
    <row r="12" spans="2:10" x14ac:dyDescent="0.25">
      <c r="B12" s="11" t="s">
        <v>21</v>
      </c>
      <c r="C12" s="11">
        <f t="shared" ref="C12:H12" si="0">SUM(C4:C11)</f>
        <v>15.001531363623146</v>
      </c>
      <c r="D12" s="11">
        <f t="shared" si="0"/>
        <v>22.073856378028722</v>
      </c>
      <c r="E12" s="11">
        <f t="shared" si="0"/>
        <v>11.406155184431555</v>
      </c>
      <c r="F12" s="11">
        <f t="shared" si="0"/>
        <v>20.978388336516225</v>
      </c>
      <c r="G12" s="11">
        <f t="shared" si="0"/>
        <v>31.580097088408326</v>
      </c>
      <c r="H12" s="11">
        <f t="shared" si="0"/>
        <v>15.033233984240713</v>
      </c>
      <c r="I12" s="11">
        <f>SUM(I4:I11)</f>
        <v>14.415776398436726</v>
      </c>
      <c r="J12" s="11">
        <f>SUM(J4:J11)</f>
        <v>16.979749971596899</v>
      </c>
    </row>
    <row r="13" spans="2:10" ht="15.75" x14ac:dyDescent="0.25">
      <c r="B13" s="16"/>
      <c r="C13" s="24" t="s">
        <v>3</v>
      </c>
      <c r="D13" s="24"/>
      <c r="E13" s="24"/>
      <c r="F13" s="24"/>
      <c r="G13" s="24"/>
      <c r="H13" s="24"/>
      <c r="I13" s="24"/>
    </row>
    <row r="14" spans="2:10" x14ac:dyDescent="0.25">
      <c r="B14" s="9" t="s">
        <v>6</v>
      </c>
      <c r="C14" s="3">
        <v>275</v>
      </c>
      <c r="D14" s="9">
        <v>270</v>
      </c>
      <c r="E14" s="4">
        <v>158</v>
      </c>
      <c r="F14" s="9">
        <v>217</v>
      </c>
      <c r="G14" s="9">
        <v>452</v>
      </c>
      <c r="H14" s="9">
        <v>275</v>
      </c>
      <c r="I14" s="9">
        <v>276</v>
      </c>
      <c r="J14" s="9">
        <v>276</v>
      </c>
    </row>
    <row r="15" spans="2:10" x14ac:dyDescent="0.25">
      <c r="B15" s="10" t="s">
        <v>7</v>
      </c>
      <c r="C15" s="1">
        <v>32</v>
      </c>
      <c r="D15" s="10">
        <v>32</v>
      </c>
      <c r="E15" s="5">
        <v>32</v>
      </c>
      <c r="F15" s="10">
        <v>0</v>
      </c>
      <c r="G15" s="10">
        <v>0</v>
      </c>
      <c r="H15" s="10">
        <v>32</v>
      </c>
      <c r="I15" s="10">
        <v>32</v>
      </c>
      <c r="J15" s="10">
        <v>32</v>
      </c>
    </row>
    <row r="16" spans="2:10" x14ac:dyDescent="0.25">
      <c r="B16" s="10" t="s">
        <v>8</v>
      </c>
      <c r="C16" s="1">
        <v>160</v>
      </c>
      <c r="D16" s="10">
        <v>134</v>
      </c>
      <c r="E16" s="5">
        <v>106</v>
      </c>
      <c r="F16" s="10">
        <v>122</v>
      </c>
      <c r="G16" s="10">
        <v>354</v>
      </c>
      <c r="H16" s="10">
        <v>160</v>
      </c>
      <c r="I16" s="10">
        <v>226</v>
      </c>
      <c r="J16" s="10">
        <v>226</v>
      </c>
    </row>
    <row r="17" spans="2:10" x14ac:dyDescent="0.25">
      <c r="B17" s="10" t="s">
        <v>26</v>
      </c>
      <c r="C17" s="1">
        <v>0</v>
      </c>
      <c r="D17" s="10">
        <v>0</v>
      </c>
      <c r="E17" s="10">
        <v>0</v>
      </c>
      <c r="F17" s="10">
        <v>1</v>
      </c>
      <c r="G17" s="10">
        <v>1</v>
      </c>
      <c r="H17" s="10">
        <v>0</v>
      </c>
      <c r="I17" s="10">
        <v>0</v>
      </c>
      <c r="J17" s="10">
        <v>0</v>
      </c>
    </row>
    <row r="18" spans="2:10" x14ac:dyDescent="0.25">
      <c r="B18" s="10" t="s">
        <v>9</v>
      </c>
      <c r="C18" s="1">
        <v>2</v>
      </c>
      <c r="D18" s="10">
        <v>2</v>
      </c>
      <c r="E18" s="5">
        <v>2</v>
      </c>
      <c r="F18" s="10">
        <v>4</v>
      </c>
      <c r="G18" s="10">
        <v>4</v>
      </c>
      <c r="H18" s="10">
        <v>2</v>
      </c>
      <c r="I18" s="10">
        <v>2</v>
      </c>
      <c r="J18" s="10">
        <v>2</v>
      </c>
    </row>
    <row r="19" spans="2:10" x14ac:dyDescent="0.25">
      <c r="B19" s="10" t="s">
        <v>10</v>
      </c>
      <c r="C19" s="1">
        <v>71</v>
      </c>
      <c r="D19" s="10">
        <v>71</v>
      </c>
      <c r="E19" s="5">
        <v>71</v>
      </c>
      <c r="F19" s="10">
        <v>71</v>
      </c>
      <c r="G19" s="10">
        <v>71</v>
      </c>
      <c r="H19" s="10">
        <v>71</v>
      </c>
      <c r="I19" s="10">
        <v>71</v>
      </c>
      <c r="J19" s="10">
        <v>71</v>
      </c>
    </row>
    <row r="20" spans="2:10" x14ac:dyDescent="0.25">
      <c r="B20" s="11" t="s">
        <v>11</v>
      </c>
      <c r="C20" s="7">
        <v>1</v>
      </c>
      <c r="D20" s="11">
        <v>1</v>
      </c>
      <c r="E20" s="8">
        <v>1</v>
      </c>
      <c r="F20" s="11">
        <v>1</v>
      </c>
      <c r="G20" s="11">
        <v>1</v>
      </c>
      <c r="H20" s="11">
        <v>1</v>
      </c>
      <c r="I20" s="11">
        <v>1</v>
      </c>
      <c r="J20" s="11">
        <v>1</v>
      </c>
    </row>
    <row r="21" spans="2:10" ht="15.75" x14ac:dyDescent="0.25">
      <c r="B21" s="17"/>
      <c r="C21" s="24" t="s">
        <v>23</v>
      </c>
      <c r="D21" s="24"/>
      <c r="E21" s="24"/>
      <c r="F21" s="24"/>
      <c r="G21" s="24"/>
      <c r="H21" s="24"/>
      <c r="I21" s="24"/>
    </row>
    <row r="22" spans="2:10" x14ac:dyDescent="0.25">
      <c r="B22" s="9" t="s">
        <v>5</v>
      </c>
      <c r="C22" s="3">
        <v>10</v>
      </c>
      <c r="D22" s="9">
        <v>10</v>
      </c>
      <c r="E22" s="4">
        <v>10</v>
      </c>
      <c r="F22" s="19">
        <v>10</v>
      </c>
      <c r="G22" s="9">
        <v>10</v>
      </c>
      <c r="H22" s="9">
        <v>10</v>
      </c>
      <c r="I22" s="9">
        <v>9</v>
      </c>
      <c r="J22" s="9">
        <v>8</v>
      </c>
    </row>
    <row r="23" spans="2:10" x14ac:dyDescent="0.25">
      <c r="B23" s="10" t="s">
        <v>4</v>
      </c>
      <c r="C23" s="1">
        <v>3.6539999999999999</v>
      </c>
      <c r="D23" s="10">
        <v>3.0739999999999998</v>
      </c>
      <c r="E23" s="5">
        <v>3.464</v>
      </c>
      <c r="F23" s="18">
        <v>4.2030000000000003</v>
      </c>
      <c r="G23" s="10">
        <v>2.472</v>
      </c>
      <c r="H23" s="10">
        <v>3.6539999999999999</v>
      </c>
      <c r="I23" s="10">
        <v>3.06</v>
      </c>
      <c r="J23" s="10">
        <v>2.2770000000000001</v>
      </c>
    </row>
    <row r="24" spans="2:10" x14ac:dyDescent="0.25">
      <c r="B24" s="6" t="s">
        <v>20</v>
      </c>
      <c r="C24" s="6">
        <f t="shared" ref="C24:J24" si="1">1000*1/(C22-C23)</f>
        <v>157.5795776867318</v>
      </c>
      <c r="D24" s="6">
        <f t="shared" si="1"/>
        <v>144.38348252959861</v>
      </c>
      <c r="E24" s="11">
        <f t="shared" si="1"/>
        <v>152.99877600979192</v>
      </c>
      <c r="F24" s="11">
        <f t="shared" si="1"/>
        <v>172.50301880282905</v>
      </c>
      <c r="G24" s="11">
        <f t="shared" si="1"/>
        <v>132.8374070138151</v>
      </c>
      <c r="H24" s="11">
        <f t="shared" si="1"/>
        <v>157.5795776867318</v>
      </c>
      <c r="I24" s="11">
        <f t="shared" si="1"/>
        <v>168.35016835016836</v>
      </c>
      <c r="J24" s="11">
        <f t="shared" si="1"/>
        <v>174.73353136466889</v>
      </c>
    </row>
    <row r="27" spans="2:10" ht="18.75" customHeight="1" x14ac:dyDescent="0.25"/>
    <row r="28" spans="2:10" ht="15.75" customHeight="1" x14ac:dyDescent="0.25">
      <c r="C28" s="20" t="s">
        <v>24</v>
      </c>
      <c r="D28" s="2" t="s">
        <v>2</v>
      </c>
      <c r="E28" s="2" t="s">
        <v>1</v>
      </c>
      <c r="F28" s="2" t="s">
        <v>27</v>
      </c>
      <c r="G28" s="2" t="s">
        <v>28</v>
      </c>
      <c r="H28" s="2" t="s">
        <v>30</v>
      </c>
      <c r="I28" s="2" t="s">
        <v>31</v>
      </c>
      <c r="J28" s="2" t="s">
        <v>32</v>
      </c>
    </row>
    <row r="29" spans="2:10" ht="21" customHeight="1" x14ac:dyDescent="0.25">
      <c r="C29" s="21"/>
      <c r="D29" s="24" t="s">
        <v>22</v>
      </c>
      <c r="E29" s="24"/>
      <c r="F29" s="24"/>
      <c r="G29" s="24"/>
      <c r="H29" s="24"/>
      <c r="I29" s="25"/>
    </row>
    <row r="30" spans="2:10" x14ac:dyDescent="0.25">
      <c r="C30" s="19" t="s">
        <v>12</v>
      </c>
      <c r="D30" s="9">
        <f t="shared" ref="D30:D38" si="2">D4-C4</f>
        <v>-8.3739781985058992E-2</v>
      </c>
      <c r="E30" s="19">
        <f t="shared" ref="E30:E38" si="3">E4-C4</f>
        <v>-0.16162425163201899</v>
      </c>
      <c r="F30" s="19">
        <f t="shared" ref="F30:F38" si="4">F4-C4</f>
        <v>-0.317186932079494</v>
      </c>
      <c r="G30" s="19">
        <f>G4-C4</f>
        <v>-0.16028337995521696</v>
      </c>
      <c r="H30" s="19">
        <f>H4-C4</f>
        <v>8.0847530625799413E-4</v>
      </c>
      <c r="I30" s="19">
        <f>I4-C4</f>
        <v>-8.3342165453358985E-2</v>
      </c>
      <c r="J30" s="9">
        <f>J4-C4</f>
        <v>-2.1762214601038998E-2</v>
      </c>
    </row>
    <row r="31" spans="2:10" x14ac:dyDescent="0.25">
      <c r="C31" s="18" t="s">
        <v>13</v>
      </c>
      <c r="D31" s="10">
        <f t="shared" si="2"/>
        <v>0.54130377247929995</v>
      </c>
      <c r="E31" s="18">
        <f t="shared" si="3"/>
        <v>-0.11654733680188989</v>
      </c>
      <c r="F31" s="18">
        <f t="shared" si="4"/>
        <v>-1.0308174969395629</v>
      </c>
      <c r="G31" s="18">
        <f t="shared" ref="G31:G38" si="5">G5-C5</f>
        <v>-0.82639753236435398</v>
      </c>
      <c r="H31" s="18">
        <f t="shared" ref="H31:I38" si="6">H5-C5</f>
        <v>2.2188760340013935E-4</v>
      </c>
      <c r="I31" s="18">
        <f t="shared" ref="I31:J38" si="7">I5-C5</f>
        <v>0.38547744043171006</v>
      </c>
      <c r="J31" s="10">
        <f t="shared" ref="J31:J38" si="8">J5-C5</f>
        <v>0.57483604177833025</v>
      </c>
    </row>
    <row r="32" spans="2:10" x14ac:dyDescent="0.25">
      <c r="C32" s="18" t="s">
        <v>14</v>
      </c>
      <c r="D32" s="10">
        <f t="shared" si="2"/>
        <v>7.9664983786642996E-2</v>
      </c>
      <c r="E32" s="18">
        <f t="shared" si="3"/>
        <v>-1.3816927094011999E-2</v>
      </c>
      <c r="F32" s="18">
        <f t="shared" si="4"/>
        <v>0.77941740164533613</v>
      </c>
      <c r="G32" s="18">
        <f t="shared" si="5"/>
        <v>0.38482854142785106</v>
      </c>
      <c r="H32" s="18">
        <f t="shared" si="6"/>
        <v>8.5586216300730378E-3</v>
      </c>
      <c r="I32" s="18">
        <f t="shared" si="7"/>
        <v>-3.1216477509588003E-2</v>
      </c>
      <c r="J32" s="10">
        <f t="shared" si="8"/>
        <v>2.8614420443772992E-2</v>
      </c>
    </row>
    <row r="33" spans="3:10" x14ac:dyDescent="0.25">
      <c r="C33" s="18" t="s">
        <v>15</v>
      </c>
      <c r="D33" s="10">
        <f t="shared" si="2"/>
        <v>3.5361633636057297</v>
      </c>
      <c r="E33" s="18">
        <f t="shared" si="3"/>
        <v>-1.7976877279579595</v>
      </c>
      <c r="F33" s="18">
        <f t="shared" si="4"/>
        <v>4.0419013239443311</v>
      </c>
      <c r="G33" s="18">
        <f t="shared" si="5"/>
        <v>9.6011073328554275</v>
      </c>
      <c r="H33" s="18">
        <f t="shared" si="6"/>
        <v>1.5851575881240088E-2</v>
      </c>
      <c r="I33" s="18">
        <f t="shared" si="7"/>
        <v>-0.29287720099090908</v>
      </c>
      <c r="J33" s="10">
        <f t="shared" si="8"/>
        <v>0.9891097433865097</v>
      </c>
    </row>
    <row r="34" spans="3:10" x14ac:dyDescent="0.25">
      <c r="C34" s="18" t="s">
        <v>16</v>
      </c>
      <c r="D34" s="10">
        <f t="shared" si="2"/>
        <v>2.7074448298662896</v>
      </c>
      <c r="E34" s="18">
        <f t="shared" si="3"/>
        <v>-1.10574904829264</v>
      </c>
      <c r="F34" s="18">
        <f t="shared" si="4"/>
        <v>3.3394361380487703</v>
      </c>
      <c r="G34" s="18">
        <f t="shared" si="5"/>
        <v>7.0930600631982106</v>
      </c>
      <c r="H34" s="18">
        <f t="shared" si="6"/>
        <v>-5.0943344831502202E-3</v>
      </c>
      <c r="I34" s="18">
        <f t="shared" si="7"/>
        <v>-0.35495031625031981</v>
      </c>
      <c r="J34" s="10">
        <f t="shared" si="8"/>
        <v>0.22958056069909993</v>
      </c>
    </row>
    <row r="35" spans="3:10" x14ac:dyDescent="0.25">
      <c r="C35" s="18" t="s">
        <v>17</v>
      </c>
      <c r="D35" s="10">
        <f t="shared" si="2"/>
        <v>-8.3225488197058994E-2</v>
      </c>
      <c r="E35" s="18">
        <f t="shared" si="3"/>
        <v>-0.33119227737188395</v>
      </c>
      <c r="F35" s="18">
        <f t="shared" si="4"/>
        <v>-0.47707988414913399</v>
      </c>
      <c r="G35" s="18">
        <f t="shared" si="5"/>
        <v>0.25513494620099497</v>
      </c>
      <c r="H35" s="18">
        <f t="shared" si="6"/>
        <v>3.9877486415210717E-3</v>
      </c>
      <c r="I35" s="18">
        <f t="shared" si="7"/>
        <v>-5.2686838898807986E-2</v>
      </c>
      <c r="J35" s="10">
        <f t="shared" si="8"/>
        <v>0.10664056753739504</v>
      </c>
    </row>
    <row r="36" spans="3:10" x14ac:dyDescent="0.25">
      <c r="C36" s="18" t="s">
        <v>18</v>
      </c>
      <c r="D36" s="10">
        <f t="shared" si="2"/>
        <v>-2.1769233171652991E-4</v>
      </c>
      <c r="E36" s="18">
        <f t="shared" si="3"/>
        <v>5.9535227592278023E-4</v>
      </c>
      <c r="F36" s="18">
        <f t="shared" si="4"/>
        <v>4.7620662826375389E-3</v>
      </c>
      <c r="G36" s="18">
        <f t="shared" si="5"/>
        <v>7.6245289619692388E-3</v>
      </c>
      <c r="H36" s="18">
        <f t="shared" si="6"/>
        <v>-6.7266228143120135E-5</v>
      </c>
      <c r="I36" s="18">
        <f t="shared" si="7"/>
        <v>-1.0231815390174953E-8</v>
      </c>
      <c r="J36" s="10">
        <f t="shared" si="8"/>
        <v>-1.7858678802440018E-4</v>
      </c>
    </row>
    <row r="37" spans="3:10" x14ac:dyDescent="0.25">
      <c r="C37" s="18" t="s">
        <v>19</v>
      </c>
      <c r="D37" s="10">
        <f t="shared" si="2"/>
        <v>0.37493102718144988</v>
      </c>
      <c r="E37" s="18">
        <f t="shared" si="3"/>
        <v>-6.9353962317110995E-2</v>
      </c>
      <c r="F37" s="18">
        <f t="shared" si="4"/>
        <v>-0.36357564385980501</v>
      </c>
      <c r="G37" s="18">
        <f t="shared" si="5"/>
        <v>0.22349122446030001</v>
      </c>
      <c r="H37" s="18">
        <f t="shared" si="6"/>
        <v>7.4359122663698596E-3</v>
      </c>
      <c r="I37" s="18">
        <f t="shared" si="7"/>
        <v>-0.15615939628332998</v>
      </c>
      <c r="J37" s="10">
        <f t="shared" si="8"/>
        <v>7.1378075517710027E-2</v>
      </c>
    </row>
    <row r="38" spans="3:10" x14ac:dyDescent="0.25">
      <c r="C38" s="6" t="s">
        <v>21</v>
      </c>
      <c r="D38" s="11">
        <f t="shared" si="2"/>
        <v>7.0723250144055765</v>
      </c>
      <c r="E38" s="6">
        <f t="shared" si="3"/>
        <v>-3.5953761791915912</v>
      </c>
      <c r="F38" s="6">
        <f t="shared" si="4"/>
        <v>5.9768569728930796</v>
      </c>
      <c r="G38" s="6">
        <f t="shared" si="5"/>
        <v>16.578565724785179</v>
      </c>
      <c r="H38" s="6">
        <f t="shared" si="6"/>
        <v>3.1702620617567234E-2</v>
      </c>
      <c r="I38" s="6">
        <f t="shared" si="7"/>
        <v>-0.58575496518641934</v>
      </c>
      <c r="J38" s="11">
        <f t="shared" si="8"/>
        <v>1.9782186079737532</v>
      </c>
    </row>
    <row r="39" spans="3:10" ht="15.75" x14ac:dyDescent="0.25">
      <c r="C39" s="12"/>
      <c r="D39" s="24" t="s">
        <v>3</v>
      </c>
      <c r="E39" s="24"/>
      <c r="F39" s="24"/>
      <c r="G39" s="24"/>
      <c r="H39" s="24"/>
      <c r="I39" s="26"/>
    </row>
    <row r="40" spans="3:10" x14ac:dyDescent="0.25">
      <c r="C40" s="19" t="s">
        <v>6</v>
      </c>
      <c r="D40" s="9">
        <f t="shared" ref="D40:D46" si="9">D14-C14</f>
        <v>-5</v>
      </c>
      <c r="E40" s="19">
        <f t="shared" ref="E40:E46" si="10">E14-C14</f>
        <v>-117</v>
      </c>
      <c r="F40" s="19">
        <f t="shared" ref="F40:F46" si="11">F14-C14</f>
        <v>-58</v>
      </c>
      <c r="G40" s="19">
        <f>G14-C14</f>
        <v>177</v>
      </c>
      <c r="H40" s="19">
        <f>H14-C14</f>
        <v>0</v>
      </c>
      <c r="I40" s="19">
        <f>I14-C14</f>
        <v>1</v>
      </c>
      <c r="J40" s="9">
        <f>J14-C14</f>
        <v>1</v>
      </c>
    </row>
    <row r="41" spans="3:10" x14ac:dyDescent="0.25">
      <c r="C41" s="18" t="s">
        <v>7</v>
      </c>
      <c r="D41" s="10">
        <f t="shared" si="9"/>
        <v>0</v>
      </c>
      <c r="E41" s="18">
        <f t="shared" si="10"/>
        <v>0</v>
      </c>
      <c r="F41" s="18">
        <f t="shared" si="11"/>
        <v>-32</v>
      </c>
      <c r="G41" s="18">
        <f t="shared" ref="G41:G46" si="12">G15-C15</f>
        <v>-32</v>
      </c>
      <c r="H41" s="18">
        <f t="shared" ref="H41:I46" si="13">H15-C15</f>
        <v>0</v>
      </c>
      <c r="I41" s="18">
        <f t="shared" ref="I41:J46" si="14">I15-C15</f>
        <v>0</v>
      </c>
      <c r="J41" s="10">
        <f t="shared" ref="J41:J46" si="15">J15-C15</f>
        <v>0</v>
      </c>
    </row>
    <row r="42" spans="3:10" x14ac:dyDescent="0.25">
      <c r="C42" s="18" t="s">
        <v>8</v>
      </c>
      <c r="D42" s="10">
        <f t="shared" si="9"/>
        <v>-26</v>
      </c>
      <c r="E42" s="18">
        <f t="shared" si="10"/>
        <v>-54</v>
      </c>
      <c r="F42" s="18">
        <f t="shared" si="11"/>
        <v>-38</v>
      </c>
      <c r="G42" s="18">
        <f t="shared" si="12"/>
        <v>194</v>
      </c>
      <c r="H42" s="18">
        <f t="shared" si="13"/>
        <v>0</v>
      </c>
      <c r="I42" s="18">
        <f t="shared" si="14"/>
        <v>66</v>
      </c>
      <c r="J42" s="10">
        <f t="shared" si="15"/>
        <v>66</v>
      </c>
    </row>
    <row r="43" spans="3:10" x14ac:dyDescent="0.25">
      <c r="C43" s="18" t="s">
        <v>29</v>
      </c>
      <c r="D43" s="10">
        <f t="shared" si="9"/>
        <v>0</v>
      </c>
      <c r="E43" s="18">
        <f t="shared" si="10"/>
        <v>0</v>
      </c>
      <c r="F43" s="18">
        <f t="shared" si="11"/>
        <v>1</v>
      </c>
      <c r="G43" s="18">
        <f t="shared" si="12"/>
        <v>1</v>
      </c>
      <c r="H43" s="18">
        <f t="shared" si="13"/>
        <v>0</v>
      </c>
      <c r="I43" s="18">
        <f t="shared" si="14"/>
        <v>0</v>
      </c>
      <c r="J43" s="10">
        <f t="shared" si="15"/>
        <v>0</v>
      </c>
    </row>
    <row r="44" spans="3:10" x14ac:dyDescent="0.25">
      <c r="C44" s="18" t="s">
        <v>9</v>
      </c>
      <c r="D44" s="10">
        <f t="shared" si="9"/>
        <v>0</v>
      </c>
      <c r="E44" s="18">
        <f t="shared" si="10"/>
        <v>0</v>
      </c>
      <c r="F44" s="18">
        <f t="shared" si="11"/>
        <v>2</v>
      </c>
      <c r="G44" s="18">
        <f t="shared" si="12"/>
        <v>2</v>
      </c>
      <c r="H44" s="18">
        <f t="shared" si="13"/>
        <v>0</v>
      </c>
      <c r="I44" s="18">
        <f t="shared" si="14"/>
        <v>0</v>
      </c>
      <c r="J44" s="10">
        <f t="shared" si="15"/>
        <v>0</v>
      </c>
    </row>
    <row r="45" spans="3:10" x14ac:dyDescent="0.25">
      <c r="C45" s="18" t="s">
        <v>10</v>
      </c>
      <c r="D45" s="10">
        <f t="shared" si="9"/>
        <v>0</v>
      </c>
      <c r="E45" s="18">
        <f t="shared" si="10"/>
        <v>0</v>
      </c>
      <c r="F45" s="18">
        <f t="shared" si="11"/>
        <v>0</v>
      </c>
      <c r="G45" s="18">
        <f t="shared" si="12"/>
        <v>0</v>
      </c>
      <c r="H45" s="18">
        <f t="shared" si="13"/>
        <v>0</v>
      </c>
      <c r="I45" s="18">
        <f t="shared" si="14"/>
        <v>0</v>
      </c>
      <c r="J45" s="10">
        <f t="shared" si="15"/>
        <v>0</v>
      </c>
    </row>
    <row r="46" spans="3:10" x14ac:dyDescent="0.25">
      <c r="C46" s="6" t="s">
        <v>11</v>
      </c>
      <c r="D46" s="11">
        <f t="shared" si="9"/>
        <v>0</v>
      </c>
      <c r="E46" s="6">
        <f t="shared" si="10"/>
        <v>0</v>
      </c>
      <c r="F46" s="6">
        <f t="shared" si="11"/>
        <v>0</v>
      </c>
      <c r="G46" s="6">
        <f t="shared" si="12"/>
        <v>0</v>
      </c>
      <c r="H46" s="6">
        <f t="shared" si="13"/>
        <v>0</v>
      </c>
      <c r="I46" s="6">
        <f t="shared" si="14"/>
        <v>0</v>
      </c>
      <c r="J46" s="11">
        <f t="shared" si="15"/>
        <v>0</v>
      </c>
    </row>
    <row r="47" spans="3:10" ht="15.75" x14ac:dyDescent="0.25">
      <c r="C47" s="15"/>
      <c r="D47" s="24" t="s">
        <v>23</v>
      </c>
      <c r="E47" s="24"/>
      <c r="F47" s="24"/>
      <c r="G47" s="24"/>
      <c r="H47" s="24"/>
      <c r="I47" s="26"/>
    </row>
    <row r="48" spans="3:10" x14ac:dyDescent="0.25">
      <c r="C48" s="19" t="s">
        <v>5</v>
      </c>
      <c r="D48" s="9">
        <f>D22-C22</f>
        <v>0</v>
      </c>
      <c r="E48" s="19">
        <f>E22-C22</f>
        <v>0</v>
      </c>
      <c r="F48" s="19">
        <f>F22-C22</f>
        <v>0</v>
      </c>
      <c r="G48" s="19">
        <f>G22-C22</f>
        <v>0</v>
      </c>
      <c r="H48" s="19">
        <f>H22-C22</f>
        <v>0</v>
      </c>
      <c r="I48" s="19">
        <f>I22-C22</f>
        <v>-1</v>
      </c>
      <c r="J48" s="9">
        <f>J22-C22</f>
        <v>-2</v>
      </c>
    </row>
    <row r="49" spans="3:10" x14ac:dyDescent="0.25">
      <c r="C49" s="18" t="s">
        <v>4</v>
      </c>
      <c r="D49" s="10">
        <f>D23-C23</f>
        <v>-0.58000000000000007</v>
      </c>
      <c r="E49" s="18">
        <f>E23-C23</f>
        <v>-0.18999999999999995</v>
      </c>
      <c r="F49" s="18">
        <f>F23-C23</f>
        <v>0.54900000000000038</v>
      </c>
      <c r="G49" s="18">
        <f t="shared" ref="G49:G50" si="16">G23-C23</f>
        <v>-1.1819999999999999</v>
      </c>
      <c r="H49" s="18">
        <f t="shared" ref="H49:I50" si="17">H23-C23</f>
        <v>0</v>
      </c>
      <c r="I49" s="18">
        <f t="shared" ref="I49:J50" si="18">I23-C23</f>
        <v>-0.59399999999999986</v>
      </c>
      <c r="J49" s="10">
        <f t="shared" ref="J49:J50" si="19">J23-C23</f>
        <v>-1.3769999999999998</v>
      </c>
    </row>
    <row r="50" spans="3:10" x14ac:dyDescent="0.25">
      <c r="C50" s="6" t="s">
        <v>20</v>
      </c>
      <c r="D50" s="11">
        <f>D24-C24</f>
        <v>-13.196095157133186</v>
      </c>
      <c r="E50" s="6">
        <f>E24-C24</f>
        <v>-4.5808016769398705</v>
      </c>
      <c r="F50" s="6">
        <f>F24-C24</f>
        <v>14.923441116097251</v>
      </c>
      <c r="G50" s="6">
        <f t="shared" si="16"/>
        <v>-24.7421706729167</v>
      </c>
      <c r="H50" s="6">
        <f t="shared" si="17"/>
        <v>0</v>
      </c>
      <c r="I50" s="6">
        <f t="shared" si="18"/>
        <v>10.770590663436565</v>
      </c>
      <c r="J50" s="11">
        <f t="shared" si="19"/>
        <v>17.153953677937096</v>
      </c>
    </row>
  </sheetData>
  <mergeCells count="8">
    <mergeCell ref="C3:I3"/>
    <mergeCell ref="C13:I13"/>
    <mergeCell ref="C21:I21"/>
    <mergeCell ref="D29:I29"/>
    <mergeCell ref="D39:I39"/>
    <mergeCell ref="D47:I47"/>
    <mergeCell ref="C28:C29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2024-04-30T21:28:54Z</dcterms:created>
  <dcterms:modified xsi:type="dcterms:W3CDTF">2024-05-02T08:16:32Z</dcterms:modified>
</cp:coreProperties>
</file>