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B418A23B-D5FD-4E6B-9D8A-32E8C9EBBC7D}" xr6:coauthVersionLast="47" xr6:coauthVersionMax="47" xr10:uidLastSave="{00000000-0000-0000-0000-000000000000}"/>
  <bookViews>
    <workbookView xWindow="-120" yWindow="-120" windowWidth="29040" windowHeight="15720" xr2:uid="{478786F9-0C08-4B95-A9F2-D12EA5517A72}"/>
  </bookViews>
  <sheets>
    <sheet name="Data" sheetId="1" r:id="rId1"/>
    <sheet name="Dynamic Power Plots" sheetId="2" r:id="rId2"/>
    <sheet name="Utilization Report Plots" sheetId="3" r:id="rId3"/>
    <sheet name="Timing Report Plo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K10" i="1"/>
  <c r="J10" i="1"/>
  <c r="I10" i="1"/>
  <c r="H10" i="1"/>
  <c r="G10" i="1"/>
  <c r="F10" i="1"/>
  <c r="E10" i="1"/>
  <c r="K12" i="1"/>
  <c r="M12" i="1" s="1"/>
  <c r="J12" i="1"/>
  <c r="I12" i="1"/>
  <c r="H12" i="1"/>
  <c r="G12" i="1"/>
  <c r="F12" i="1"/>
  <c r="E12" i="1"/>
  <c r="K9" i="1"/>
  <c r="J9" i="1"/>
  <c r="I9" i="1"/>
  <c r="H9" i="1"/>
  <c r="G9" i="1"/>
  <c r="F9" i="1"/>
  <c r="E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5" i="1"/>
  <c r="K11" i="1"/>
  <c r="J11" i="1"/>
  <c r="I11" i="1"/>
  <c r="H11" i="1"/>
  <c r="G11" i="1"/>
  <c r="F11" i="1"/>
  <c r="E11" i="1"/>
  <c r="D11" i="1"/>
  <c r="K23" i="1"/>
  <c r="K21" i="1"/>
  <c r="K20" i="1"/>
  <c r="K19" i="1"/>
  <c r="K18" i="1"/>
  <c r="K17" i="1"/>
  <c r="K16" i="1"/>
  <c r="K15" i="1"/>
  <c r="K14" i="1"/>
  <c r="K5" i="1"/>
  <c r="K6" i="1"/>
  <c r="K7" i="1"/>
  <c r="K8" i="1"/>
  <c r="J8" i="1"/>
  <c r="I8" i="1"/>
  <c r="H8" i="1"/>
  <c r="D8" i="1"/>
  <c r="G8" i="1"/>
  <c r="F8" i="1"/>
  <c r="E8" i="1"/>
  <c r="J23" i="1"/>
  <c r="I23" i="1"/>
  <c r="H23" i="1"/>
  <c r="F23" i="1"/>
  <c r="E23" i="1"/>
  <c r="J21" i="1"/>
  <c r="I21" i="1"/>
  <c r="H21" i="1"/>
  <c r="G21" i="1"/>
  <c r="F21" i="1"/>
  <c r="E21" i="1"/>
  <c r="J20" i="1"/>
  <c r="I20" i="1"/>
  <c r="H20" i="1"/>
  <c r="G20" i="1"/>
  <c r="F20" i="1"/>
  <c r="E20" i="1"/>
  <c r="J19" i="1"/>
  <c r="I19" i="1"/>
  <c r="H19" i="1"/>
  <c r="G19" i="1"/>
  <c r="F19" i="1"/>
  <c r="E19" i="1"/>
  <c r="J18" i="1"/>
  <c r="I18" i="1"/>
  <c r="H18" i="1"/>
  <c r="G18" i="1"/>
  <c r="F18" i="1"/>
  <c r="E18" i="1"/>
  <c r="J17" i="1"/>
  <c r="I17" i="1"/>
  <c r="H17" i="1"/>
  <c r="G17" i="1"/>
  <c r="F17" i="1"/>
  <c r="E17" i="1"/>
  <c r="J16" i="1"/>
  <c r="I16" i="1"/>
  <c r="H16" i="1"/>
  <c r="G16" i="1"/>
  <c r="F16" i="1"/>
  <c r="E16" i="1"/>
  <c r="J15" i="1"/>
  <c r="I15" i="1"/>
  <c r="H15" i="1"/>
  <c r="G15" i="1"/>
  <c r="F15" i="1"/>
  <c r="E15" i="1"/>
  <c r="J14" i="1"/>
  <c r="I14" i="1"/>
  <c r="H14" i="1"/>
  <c r="G14" i="1"/>
  <c r="F14" i="1"/>
  <c r="E14" i="1"/>
  <c r="J7" i="1"/>
  <c r="I7" i="1"/>
  <c r="H7" i="1"/>
  <c r="G7" i="1"/>
  <c r="F7" i="1"/>
  <c r="E7" i="1"/>
  <c r="J6" i="1"/>
  <c r="I6" i="1"/>
  <c r="H6" i="1"/>
  <c r="G6" i="1"/>
  <c r="F6" i="1"/>
  <c r="E6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<sst xmlns="http://schemas.openxmlformats.org/spreadsheetml/2006/main" count="43" uniqueCount="41">
  <si>
    <t>Unoptimized</t>
  </si>
  <si>
    <t>Code Hoisting</t>
  </si>
  <si>
    <t>Loop Fission</t>
  </si>
  <si>
    <t>Loop Unrolling (manual) factor=2</t>
  </si>
  <si>
    <t>Loop Unrolling (manual) factor=4</t>
  </si>
  <si>
    <t>Loop Unrolling (pragma) factor=2</t>
  </si>
  <si>
    <t>Loop Unrolling (pragma+partitioning) factor=2</t>
  </si>
  <si>
    <t>Loop Unrolling (pragma) factor=4</t>
  </si>
  <si>
    <t>Loop Unrolling (pragma+partitioning) factor=4</t>
  </si>
  <si>
    <t>Operation Chaining clk=10ns</t>
  </si>
  <si>
    <t>Operation Chaining clk=9ns</t>
  </si>
  <si>
    <t>Operation Chaining clk=8ns</t>
  </si>
  <si>
    <t>Operation Chaining clk=7ns</t>
  </si>
  <si>
    <t>Operation Chaining clk=6ns</t>
  </si>
  <si>
    <t>Operation Chaining clk=5ns</t>
  </si>
  <si>
    <t>Operation Chaining clk=4ns</t>
  </si>
  <si>
    <t>Arbitrary Precision</t>
  </si>
  <si>
    <t>AXI</t>
  </si>
  <si>
    <t>Clock Enable</t>
  </si>
  <si>
    <t>Clocks</t>
  </si>
  <si>
    <t>DSP</t>
  </si>
  <si>
    <t>Logic</t>
  </si>
  <si>
    <t>Set/Reset</t>
  </si>
  <si>
    <t>Data</t>
  </si>
  <si>
    <t>Dynamic Total</t>
  </si>
  <si>
    <t>Dynamic Power Report [mW]</t>
  </si>
  <si>
    <t>IO</t>
  </si>
  <si>
    <t>BUFG</t>
  </si>
  <si>
    <t>Utilization Report [#]</t>
  </si>
  <si>
    <t>LUT</t>
  </si>
  <si>
    <t>LUTRAM</t>
  </si>
  <si>
    <t>FF</t>
  </si>
  <si>
    <t>BRAM</t>
  </si>
  <si>
    <t>Energy Single Operation [pJ]</t>
  </si>
  <si>
    <t>Timing Report</t>
  </si>
  <si>
    <t>Cycles [#]</t>
  </si>
  <si>
    <t>Clock Constraint [ns]</t>
  </si>
  <si>
    <t>WNS [ns]</t>
  </si>
  <si>
    <t>Maximum Clock Frequency [MHz]</t>
  </si>
  <si>
    <t>Loop Pipelining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</si>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</sst>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Data!$D$5:$D$23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1.2505515478551401</c:v>
                </c:pt>
                <c:pt idx="4">
                  <c:v>0</c:v>
                </c:pt>
                <c:pt idx="5">
                  <c:v>0</c:v>
                </c:pt>
                <c:pt idx="6">
                  <c:v>1.32976192981005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C-4E02-9329-D675FE821F5C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Clock Enable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Data!$E$5:$E$23</c:f>
              <c:numCache>
                <c:formatCode>General</c:formatCode>
                <c:ptCount val="19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9.6387171652167994E-2</c:v>
                </c:pt>
                <c:pt idx="4">
                  <c:v>0.54927397286519397</c:v>
                </c:pt>
                <c:pt idx="5">
                  <c:v>0.38693009992130101</c:v>
                </c:pt>
                <c:pt idx="6">
                  <c:v>0.38262590533122398</c:v>
                </c:pt>
                <c:pt idx="7">
                  <c:v>0.67833159118890796</c:v>
                </c:pt>
                <c:pt idx="8">
                  <c:v>0.57970226043835305</c:v>
                </c:pt>
                <c:pt idx="9">
                  <c:v>0.45503594446927298</c:v>
                </c:pt>
                <c:pt idx="10">
                  <c:v>0.370885303709656</c:v>
                </c:pt>
                <c:pt idx="11">
                  <c:v>0.43246525456197599</c:v>
                </c:pt>
                <c:pt idx="12">
                  <c:v>0.74117712210863795</c:v>
                </c:pt>
                <c:pt idx="13">
                  <c:v>0.65137079218402505</c:v>
                </c:pt>
                <c:pt idx="14">
                  <c:v>0.55694882757961806</c:v>
                </c:pt>
                <c:pt idx="15">
                  <c:v>0.57213963009417101</c:v>
                </c:pt>
                <c:pt idx="16">
                  <c:v>0.350732821971178</c:v>
                </c:pt>
                <c:pt idx="18">
                  <c:v>0.36168267251923703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C-4E02-9329-D675FE821F5C}"/>
            </c:ext>
          </c:extLst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Clocks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Data!$F$5:$F$23</c:f>
              <c:numCache>
                <c:formatCode>General</c:formatCode>
                <c:ptCount val="19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0.90053281746804703</c:v>
                </c:pt>
                <c:pt idx="4">
                  <c:v>1.4773420989513399</c:v>
                </c:pt>
                <c:pt idx="5">
                  <c:v>1.4364910311996899</c:v>
                </c:pt>
                <c:pt idx="6">
                  <c:v>0.253616715781391</c:v>
                </c:pt>
                <c:pt idx="7">
                  <c:v>2.0698106382042201</c:v>
                </c:pt>
                <c:pt idx="8">
                  <c:v>2.5304341688752201</c:v>
                </c:pt>
                <c:pt idx="9">
                  <c:v>1.2157068122178301</c:v>
                </c:pt>
                <c:pt idx="10">
                  <c:v>1.60096236504614</c:v>
                </c:pt>
                <c:pt idx="11">
                  <c:v>1.7903209663927602</c:v>
                </c:pt>
                <c:pt idx="12">
                  <c:v>0.79376308713108301</c:v>
                </c:pt>
                <c:pt idx="13">
                  <c:v>0.88516663527116202</c:v>
                </c:pt>
                <c:pt idx="14">
                  <c:v>3.1741627026349302</c:v>
                </c:pt>
                <c:pt idx="15">
                  <c:v>3.8048466667532899</c:v>
                </c:pt>
                <c:pt idx="16">
                  <c:v>0.64228387782350205</c:v>
                </c:pt>
                <c:pt idx="18">
                  <c:v>2.4096467532217498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C-4E02-9329-D675FE821F5C}"/>
            </c:ext>
          </c:extLst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Data!$G$5:$G$23</c:f>
              <c:numCache>
                <c:formatCode>General</c:formatCode>
                <c:ptCount val="19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0.26825189706869401</c:v>
                </c:pt>
                <c:pt idx="4">
                  <c:v>0.56692428188398503</c:v>
                </c:pt>
                <c:pt idx="5">
                  <c:v>0.55420439457520798</c:v>
                </c:pt>
                <c:pt idx="6">
                  <c:v>0.92103349743410901</c:v>
                </c:pt>
                <c:pt idx="7">
                  <c:v>0.59275847161188699</c:v>
                </c:pt>
                <c:pt idx="8">
                  <c:v>1.02545856498182</c:v>
                </c:pt>
                <c:pt idx="9">
                  <c:v>0.34357042750343703</c:v>
                </c:pt>
                <c:pt idx="10">
                  <c:v>0.30379532836377598</c:v>
                </c:pt>
                <c:pt idx="11">
                  <c:v>0.36362622631713698</c:v>
                </c:pt>
                <c:pt idx="12">
                  <c:v>1.62343855481595</c:v>
                </c:pt>
                <c:pt idx="13">
                  <c:v>1.5489605721086301</c:v>
                </c:pt>
                <c:pt idx="14">
                  <c:v>0.27879772824235299</c:v>
                </c:pt>
                <c:pt idx="15">
                  <c:v>0.24706084514036802</c:v>
                </c:pt>
                <c:pt idx="16">
                  <c:v>1.18907087016851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C-4E02-9329-D675FE821F5C}"/>
            </c:ext>
          </c:extLst>
        </c:ser>
        <c:ser>
          <c:idx val="4"/>
          <c:order val="4"/>
          <c:tx>
            <c:strRef>
              <c:f>Data!$H$3</c:f>
              <c:strCache>
                <c:ptCount val="1"/>
                <c:pt idx="0">
                  <c:v>Logic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Data!$H$5:$H$23</c:f>
              <c:numCache>
                <c:formatCode>General</c:formatCode>
                <c:ptCount val="19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0.260709843132645</c:v>
                </c:pt>
                <c:pt idx="4">
                  <c:v>1.2816495727747701</c:v>
                </c:pt>
                <c:pt idx="5">
                  <c:v>0.84493338363245096</c:v>
                </c:pt>
                <c:pt idx="6">
                  <c:v>0.54354930762201503</c:v>
                </c:pt>
                <c:pt idx="7">
                  <c:v>1.3421794865280401</c:v>
                </c:pt>
                <c:pt idx="8">
                  <c:v>1.4032589970156599</c:v>
                </c:pt>
                <c:pt idx="9">
                  <c:v>0.92546828091144606</c:v>
                </c:pt>
                <c:pt idx="10">
                  <c:v>0.868793693371117</c:v>
                </c:pt>
                <c:pt idx="11">
                  <c:v>1.02812109980732</c:v>
                </c:pt>
                <c:pt idx="12">
                  <c:v>1.0441305348649599</c:v>
                </c:pt>
                <c:pt idx="13">
                  <c:v>0.75803906656801701</c:v>
                </c:pt>
                <c:pt idx="14">
                  <c:v>0.88814075570553497</c:v>
                </c:pt>
                <c:pt idx="15">
                  <c:v>0.72020455263554994</c:v>
                </c:pt>
                <c:pt idx="16">
                  <c:v>1.38780823908746</c:v>
                </c:pt>
                <c:pt idx="18">
                  <c:v>7.9632550477981603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C-4E02-9329-D675FE821F5C}"/>
            </c:ext>
          </c:extLst>
        </c:ser>
        <c:ser>
          <c:idx val="5"/>
          <c:order val="5"/>
          <c:tx>
            <c:strRef>
              <c:f>Data!$I$3</c:f>
              <c:strCache>
                <c:ptCount val="1"/>
                <c:pt idx="0">
                  <c:v>Set/Reset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Data!$I$5:$I$23</c:f>
              <c:numCache>
                <c:formatCode>0.00E+00</c:formatCode>
                <c:ptCount val="19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3.1468659926758799E-3</c:v>
                </c:pt>
                <c:pt idx="4" formatCode="General">
                  <c:v>4.1766666072362603E-3</c:v>
                </c:pt>
                <c:pt idx="5" formatCode="General">
                  <c:v>4.3480208660184897E-3</c:v>
                </c:pt>
                <c:pt idx="6" formatCode="General">
                  <c:v>1.0887121788982801E-2</c:v>
                </c:pt>
                <c:pt idx="7" formatCode="General">
                  <c:v>5.8171112868876697E-3</c:v>
                </c:pt>
                <c:pt idx="8" formatCode="General">
                  <c:v>5.51955554328742E-3</c:v>
                </c:pt>
                <c:pt idx="9" formatCode="General">
                  <c:v>3.4978299936483399E-3</c:v>
                </c:pt>
                <c:pt idx="10" formatCode="General">
                  <c:v>3.5650859899760698E-3</c:v>
                </c:pt>
                <c:pt idx="11" formatCode="General">
                  <c:v>3.3865094337670598E-3</c:v>
                </c:pt>
                <c:pt idx="12" formatCode="General">
                  <c:v>6.8435433604463504E-3</c:v>
                </c:pt>
                <c:pt idx="13" formatCode="General">
                  <c:v>5.9745220823970201E-3</c:v>
                </c:pt>
                <c:pt idx="14" formatCode="General">
                  <c:v>4.5323581616685303E-3</c:v>
                </c:pt>
                <c:pt idx="15" formatCode="General">
                  <c:v>2.4769840365479502E-3</c:v>
                </c:pt>
                <c:pt idx="16" formatCode="General">
                  <c:v>1.8733164324657998E-2</c:v>
                </c:pt>
                <c:pt idx="18" formatCode="General">
                  <c:v>8.2827373262262007E-3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C-4E02-9329-D675FE821F5C}"/>
            </c:ext>
          </c:extLst>
        </c:ser>
        <c:ser>
          <c:idx val="6"/>
          <c:order val="6"/>
          <c:tx>
            <c:strRef>
              <c:f>Data!$J$3</c:f>
              <c:strCache>
                <c:ptCount val="1"/>
                <c:pt idx="0">
                  <c:v>Data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Data!$J$5:$J$23</c:f>
              <c:numCache>
                <c:formatCode>General</c:formatCode>
                <c:ptCount val="19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0.42399298399686802</c:v>
                </c:pt>
                <c:pt idx="4">
                  <c:v>1.4121036510914602</c:v>
                </c:pt>
                <c:pt idx="5">
                  <c:v>0.98959542810916901</c:v>
                </c:pt>
                <c:pt idx="6">
                  <c:v>0.58537651784718003</c:v>
                </c:pt>
                <c:pt idx="7">
                  <c:v>1.87364441808313</c:v>
                </c:pt>
                <c:pt idx="8">
                  <c:v>1.7241151072084899</c:v>
                </c:pt>
                <c:pt idx="9">
                  <c:v>1.0144955012947299</c:v>
                </c:pt>
                <c:pt idx="10">
                  <c:v>0.85090019274503004</c:v>
                </c:pt>
                <c:pt idx="11">
                  <c:v>1.07843766454607</c:v>
                </c:pt>
                <c:pt idx="12">
                  <c:v>0.78912044409662496</c:v>
                </c:pt>
                <c:pt idx="13">
                  <c:v>0.69337280001491297</c:v>
                </c:pt>
                <c:pt idx="14">
                  <c:v>0.85364980623125997</c:v>
                </c:pt>
                <c:pt idx="15">
                  <c:v>0.68621442187577497</c:v>
                </c:pt>
                <c:pt idx="16">
                  <c:v>1.9081661012023701</c:v>
                </c:pt>
                <c:pt idx="18">
                  <c:v>5.5387257598340502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C-4E02-9329-D675FE821F5C}"/>
            </c:ext>
          </c:extLst>
        </c:ser>
        <c:ser>
          <c:idx val="7"/>
          <c:order val="7"/>
          <c:tx>
            <c:strRef>
              <c:f>Data!$K$3</c:f>
              <c:strCache>
                <c:ptCount val="1"/>
                <c:pt idx="0">
                  <c:v>Dynamic Total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Data!$K$5:$K$23</c:f>
              <c:numCache>
                <c:formatCode>General</c:formatCode>
                <c:ptCount val="19"/>
                <c:pt idx="0">
                  <c:v>3.9368294171708857</c:v>
                </c:pt>
                <c:pt idx="1">
                  <c:v>4.7655462381044433</c:v>
                </c:pt>
                <c:pt idx="2">
                  <c:v>3.2448900142298922</c:v>
                </c:pt>
                <c:pt idx="3">
                  <c:v>3.203573127166238</c:v>
                </c:pt>
                <c:pt idx="4">
                  <c:v>5.2914702441739854</c:v>
                </c:pt>
                <c:pt idx="5">
                  <c:v>4.2165023583038366</c:v>
                </c:pt>
                <c:pt idx="6">
                  <c:v>4.0268509956149519</c:v>
                </c:pt>
                <c:pt idx="7">
                  <c:v>6.5625417169030733</c:v>
                </c:pt>
                <c:pt idx="8">
                  <c:v>7.2684886540628302</c:v>
                </c:pt>
                <c:pt idx="9">
                  <c:v>3.957774796390364</c:v>
                </c:pt>
                <c:pt idx="10">
                  <c:v>3.9989019692256953</c:v>
                </c:pt>
                <c:pt idx="11">
                  <c:v>4.6963577210590302</c:v>
                </c:pt>
                <c:pt idx="12">
                  <c:v>4.9984732863777026</c:v>
                </c:pt>
                <c:pt idx="13">
                  <c:v>4.5428843882291439</c:v>
                </c:pt>
                <c:pt idx="14">
                  <c:v>5.756232178555365</c:v>
                </c:pt>
                <c:pt idx="15">
                  <c:v>6.032943100535701</c:v>
                </c:pt>
                <c:pt idx="16">
                  <c:v>5.4967950745776779</c:v>
                </c:pt>
                <c:pt idx="18">
                  <c:v>16.281592970699425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C-4E02-9329-D675FE821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88736"/>
        <c:axId val="374886336"/>
      </c:lineChart>
      <c:catAx>
        <c:axId val="3748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6336"/>
        <c:crosses val="autoZero"/>
        <c:auto val="1"/>
        <c:lblAlgn val="ctr"/>
        <c:lblOffset val="100"/>
        <c:noMultiLvlLbl val="0"/>
      </c:catAx>
      <c:valAx>
        <c:axId val="37488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[milliWatt]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8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Single Operation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Data!$M$3</c:f>
              <c:strCache>
                <c:ptCount val="1"/>
                <c:pt idx="0">
                  <c:v>Energy Single Operation [pJ]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Data!$M$5:$M$23</c:f>
              <c:numCache>
                <c:formatCode>General</c:formatCode>
                <c:ptCount val="19"/>
                <c:pt idx="0">
                  <c:v>3.9368294171708857E-12</c:v>
                </c:pt>
                <c:pt idx="1">
                  <c:v>4.7655462381044427E-12</c:v>
                </c:pt>
                <c:pt idx="2">
                  <c:v>3.2448900142298923E-12</c:v>
                </c:pt>
                <c:pt idx="3">
                  <c:v>3.2035731271662382E-12</c:v>
                </c:pt>
                <c:pt idx="4">
                  <c:v>5.291470244173986E-12</c:v>
                </c:pt>
                <c:pt idx="5">
                  <c:v>4.2165023583038366E-12</c:v>
                </c:pt>
                <c:pt idx="6">
                  <c:v>4.0268509956149517E-12</c:v>
                </c:pt>
                <c:pt idx="7">
                  <c:v>6.5625417169030737E-12</c:v>
                </c:pt>
                <c:pt idx="8">
                  <c:v>7.2684886540628295E-12</c:v>
                </c:pt>
                <c:pt idx="9">
                  <c:v>3.9577747963903639E-12</c:v>
                </c:pt>
                <c:pt idx="10">
                  <c:v>3.5990117723031265E-12</c:v>
                </c:pt>
                <c:pt idx="11">
                  <c:v>3.7570861768472243E-12</c:v>
                </c:pt>
                <c:pt idx="12">
                  <c:v>3.4989313004643919E-12</c:v>
                </c:pt>
                <c:pt idx="13">
                  <c:v>2.7257306329374865E-12</c:v>
                </c:pt>
                <c:pt idx="14">
                  <c:v>2.8781160892776826E-12</c:v>
                </c:pt>
                <c:pt idx="15">
                  <c:v>2.4131772402142805E-12</c:v>
                </c:pt>
                <c:pt idx="16">
                  <c:v>5.4967950745776776E-12</c:v>
                </c:pt>
                <c:pt idx="17">
                  <c:v>0</c:v>
                </c:pt>
                <c:pt idx="18">
                  <c:v>1.6281592970699424E-11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9-40EF-B381-13E31566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55376"/>
        <c:axId val="641556336"/>
      </c:lineChart>
      <c:catAx>
        <c:axId val="6415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6336"/>
        <c:crosses val="autoZero"/>
        <c:auto val="1"/>
        <c:lblAlgn val="ctr"/>
        <c:lblOffset val="100"/>
        <c:noMultiLvlLbl val="0"/>
      </c:catAx>
      <c:valAx>
        <c:axId val="64155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[picojoule]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Data!$O$3</c:f>
              <c:strCache>
                <c:ptCount val="1"/>
                <c:pt idx="0">
                  <c:v>LUT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Data!$O$5:$O$23</c:f>
              <c:numCache>
                <c:formatCode>General</c:formatCode>
                <c:ptCount val="19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98</c:v>
                </c:pt>
                <c:pt idx="4">
                  <c:v>384</c:v>
                </c:pt>
                <c:pt idx="5">
                  <c:v>440</c:v>
                </c:pt>
                <c:pt idx="6">
                  <c:v>159</c:v>
                </c:pt>
                <c:pt idx="7">
                  <c:v>533</c:v>
                </c:pt>
                <c:pt idx="8">
                  <c:v>1016</c:v>
                </c:pt>
                <c:pt idx="9">
                  <c:v>275</c:v>
                </c:pt>
                <c:pt idx="10">
                  <c:v>276</c:v>
                </c:pt>
                <c:pt idx="11">
                  <c:v>276</c:v>
                </c:pt>
                <c:pt idx="12">
                  <c:v>186</c:v>
                </c:pt>
                <c:pt idx="13">
                  <c:v>186</c:v>
                </c:pt>
                <c:pt idx="14">
                  <c:v>186</c:v>
                </c:pt>
                <c:pt idx="15">
                  <c:v>188</c:v>
                </c:pt>
                <c:pt idx="16">
                  <c:v>311</c:v>
                </c:pt>
                <c:pt idx="18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6-4A81-8438-E6268E1C6ECA}"/>
            </c:ext>
          </c:extLst>
        </c:ser>
        <c:ser>
          <c:idx val="1"/>
          <c:order val="1"/>
          <c:tx>
            <c:strRef>
              <c:f>Data!$P$3</c:f>
              <c:strCache>
                <c:ptCount val="1"/>
                <c:pt idx="0">
                  <c:v>LUTRAM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Data!$P$5:$P$23</c:f>
              <c:numCache>
                <c:formatCode>General</c:formatCode>
                <c:ptCount val="1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6-4A81-8438-E6268E1C6ECA}"/>
            </c:ext>
          </c:extLst>
        </c:ser>
        <c:ser>
          <c:idx val="2"/>
          <c:order val="2"/>
          <c:tx>
            <c:strRef>
              <c:f>Data!$Q$3</c:f>
              <c:strCache>
                <c:ptCount val="1"/>
                <c:pt idx="0">
                  <c:v>FF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Data!$Q$5:$Q$23</c:f>
              <c:numCache>
                <c:formatCode>General</c:formatCode>
                <c:ptCount val="19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72</c:v>
                </c:pt>
                <c:pt idx="4">
                  <c:v>281</c:v>
                </c:pt>
                <c:pt idx="5">
                  <c:v>567</c:v>
                </c:pt>
                <c:pt idx="6">
                  <c:v>147</c:v>
                </c:pt>
                <c:pt idx="7">
                  <c:v>452</c:v>
                </c:pt>
                <c:pt idx="8">
                  <c:v>717</c:v>
                </c:pt>
                <c:pt idx="9">
                  <c:v>160</c:v>
                </c:pt>
                <c:pt idx="10">
                  <c:v>226</c:v>
                </c:pt>
                <c:pt idx="11">
                  <c:v>226</c:v>
                </c:pt>
                <c:pt idx="12">
                  <c:v>222</c:v>
                </c:pt>
                <c:pt idx="13">
                  <c:v>241</c:v>
                </c:pt>
                <c:pt idx="14">
                  <c:v>258</c:v>
                </c:pt>
                <c:pt idx="15">
                  <c:v>376</c:v>
                </c:pt>
                <c:pt idx="16">
                  <c:v>458</c:v>
                </c:pt>
                <c:pt idx="18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6-4A81-8438-E6268E1C6ECA}"/>
            </c:ext>
          </c:extLst>
        </c:ser>
        <c:ser>
          <c:idx val="3"/>
          <c:order val="3"/>
          <c:tx>
            <c:strRef>
              <c:f>Data!$R$3</c:f>
              <c:strCache>
                <c:ptCount val="1"/>
                <c:pt idx="0">
                  <c:v>BRAM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Data!$R$5:$R$23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6-4A81-8438-E6268E1C6ECA}"/>
            </c:ext>
          </c:extLst>
        </c:ser>
        <c:ser>
          <c:idx val="4"/>
          <c:order val="4"/>
          <c:tx>
            <c:strRef>
              <c:f>Data!$S$3</c:f>
              <c:strCache>
                <c:ptCount val="1"/>
                <c:pt idx="0">
                  <c:v>DSP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Data!$S$5:$S$23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6-4A81-8438-E6268E1C6ECA}"/>
            </c:ext>
          </c:extLst>
        </c:ser>
        <c:ser>
          <c:idx val="5"/>
          <c:order val="5"/>
          <c:tx>
            <c:strRef>
              <c:f>Data!$T$3</c:f>
              <c:strCache>
                <c:ptCount val="1"/>
                <c:pt idx="0">
                  <c:v>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Data!$T$5:$T$23</c:f>
              <c:numCache>
                <c:formatCode>General</c:formatCode>
                <c:ptCount val="19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8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6-4A81-8438-E6268E1C6ECA}"/>
            </c:ext>
          </c:extLst>
        </c:ser>
        <c:ser>
          <c:idx val="6"/>
          <c:order val="6"/>
          <c:tx>
            <c:strRef>
              <c:f>Data!$U$3</c:f>
              <c:strCache>
                <c:ptCount val="1"/>
                <c:pt idx="0">
                  <c:v>BUFG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Data!$U$5:$U$23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6-4A81-8438-E6268E1C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8352"/>
        <c:axId val="635130272"/>
      </c:lineChart>
      <c:catAx>
        <c:axId val="6351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0272"/>
        <c:crosses val="autoZero"/>
        <c:auto val="1"/>
        <c:lblAlgn val="ctr"/>
        <c:lblOffset val="100"/>
        <c:noMultiLvlLbl val="0"/>
      </c:catAx>
      <c:valAx>
        <c:axId val="635130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Cycles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Data!$W$5:$W$23</c:f>
              <c:numCache>
                <c:formatCode>General</c:formatCode>
                <c:ptCount val="19"/>
                <c:pt idx="0">
                  <c:v>44</c:v>
                </c:pt>
                <c:pt idx="1">
                  <c:v>43</c:v>
                </c:pt>
                <c:pt idx="2">
                  <c:v>67</c:v>
                </c:pt>
                <c:pt idx="3">
                  <c:v>57</c:v>
                </c:pt>
                <c:pt idx="4">
                  <c:v>39</c:v>
                </c:pt>
                <c:pt idx="5">
                  <c:v>39</c:v>
                </c:pt>
                <c:pt idx="6">
                  <c:v>59</c:v>
                </c:pt>
                <c:pt idx="7">
                  <c:v>36</c:v>
                </c:pt>
                <c:pt idx="8">
                  <c:v>36</c:v>
                </c:pt>
                <c:pt idx="9">
                  <c:v>44</c:v>
                </c:pt>
                <c:pt idx="10">
                  <c:v>50</c:v>
                </c:pt>
                <c:pt idx="11">
                  <c:v>44</c:v>
                </c:pt>
                <c:pt idx="12">
                  <c:v>47</c:v>
                </c:pt>
                <c:pt idx="13">
                  <c:v>53</c:v>
                </c:pt>
                <c:pt idx="14">
                  <c:v>44</c:v>
                </c:pt>
                <c:pt idx="15">
                  <c:v>53</c:v>
                </c:pt>
                <c:pt idx="16">
                  <c:v>16</c:v>
                </c:pt>
                <c:pt idx="1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B-4763-9544-EF1431B5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657296"/>
        <c:axId val="434933376"/>
      </c:lineChart>
      <c:catAx>
        <c:axId val="3786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33376"/>
        <c:crosses val="autoZero"/>
        <c:auto val="1"/>
        <c:lblAlgn val="ctr"/>
        <c:lblOffset val="100"/>
        <c:noMultiLvlLbl val="0"/>
      </c:catAx>
      <c:valAx>
        <c:axId val="43493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Constraint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Data!$X$3</c:f>
              <c:strCache>
                <c:ptCount val="1"/>
                <c:pt idx="0">
                  <c:v>Clock Constraint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Data!$X$5:$X$23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3-4F23-A2B1-24B49ECF1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356704"/>
        <c:axId val="581349984"/>
      </c:lineChart>
      <c:catAx>
        <c:axId val="5813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49984"/>
        <c:crosses val="autoZero"/>
        <c:auto val="1"/>
        <c:lblAlgn val="ctr"/>
        <c:lblOffset val="100"/>
        <c:noMultiLvlLbl val="0"/>
      </c:catAx>
      <c:valAx>
        <c:axId val="5813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WNS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Data!$Y$3</c:f>
              <c:strCache>
                <c:ptCount val="1"/>
                <c:pt idx="0">
                  <c:v>WNS [ns]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Data!$Y$5:$Y$23</c:f>
              <c:numCache>
                <c:formatCode>General</c:formatCode>
                <c:ptCount val="19"/>
                <c:pt idx="0">
                  <c:v>3.6539999999999999</c:v>
                </c:pt>
                <c:pt idx="1">
                  <c:v>3.0739999999999998</c:v>
                </c:pt>
                <c:pt idx="2">
                  <c:v>3.464</c:v>
                </c:pt>
                <c:pt idx="3">
                  <c:v>4.33</c:v>
                </c:pt>
                <c:pt idx="4">
                  <c:v>2.3519999999999999</c:v>
                </c:pt>
                <c:pt idx="5">
                  <c:v>4.1210000000000004</c:v>
                </c:pt>
                <c:pt idx="6">
                  <c:v>4.2569999999999997</c:v>
                </c:pt>
                <c:pt idx="7">
                  <c:v>2.2930000000000001</c:v>
                </c:pt>
                <c:pt idx="8">
                  <c:v>2.0830000000000002</c:v>
                </c:pt>
                <c:pt idx="9">
                  <c:v>3.6539999999999999</c:v>
                </c:pt>
                <c:pt idx="10">
                  <c:v>3.06</c:v>
                </c:pt>
                <c:pt idx="11">
                  <c:v>2.2770000000000001</c:v>
                </c:pt>
                <c:pt idx="12">
                  <c:v>1.33</c:v>
                </c:pt>
                <c:pt idx="13">
                  <c:v>1.573</c:v>
                </c:pt>
                <c:pt idx="14">
                  <c:v>0.374</c:v>
                </c:pt>
                <c:pt idx="15">
                  <c:v>0.45400000000000001</c:v>
                </c:pt>
                <c:pt idx="16">
                  <c:v>4.2080000000000002</c:v>
                </c:pt>
                <c:pt idx="18">
                  <c:v>1.369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D80-B8C0-76E9ABFF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29792"/>
        <c:axId val="635133632"/>
      </c:lineChart>
      <c:catAx>
        <c:axId val="6351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33632"/>
        <c:crosses val="autoZero"/>
        <c:auto val="1"/>
        <c:lblAlgn val="ctr"/>
        <c:lblOffset val="100"/>
        <c:noMultiLvlLbl val="0"/>
      </c:catAx>
      <c:valAx>
        <c:axId val="63513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[nanoseconds]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1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Clock Frequency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Maximum Clock Frequency [MHz]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Data!$B$5:$B$23</c:f>
              <c:strCache>
                <c:ptCount val="19"/>
                <c:pt idx="0">
                  <c:v>Unoptimized</c:v>
                </c:pt>
                <c:pt idx="1">
                  <c:v>Code Hoisting</c:v>
                </c:pt>
                <c:pt idx="2">
                  <c:v>Loop Fission</c:v>
                </c:pt>
                <c:pt idx="3">
                  <c:v>Loop Unrolling (manual) factor=2</c:v>
                </c:pt>
                <c:pt idx="4">
                  <c:v>Loop Unrolling (pragma) factor=2</c:v>
                </c:pt>
                <c:pt idx="5">
                  <c:v>Loop Unrolling (pragma+partitioning) factor=2</c:v>
                </c:pt>
                <c:pt idx="6">
                  <c:v>Loop Unrolling (manual) factor=4</c:v>
                </c:pt>
                <c:pt idx="7">
                  <c:v>Loop Unrolling (pragma) factor=4</c:v>
                </c:pt>
                <c:pt idx="8">
                  <c:v>Loop Unrolling (pragma+partitioning) factor=4</c:v>
                </c:pt>
                <c:pt idx="9">
                  <c:v>Operation Chaining clk=10ns</c:v>
                </c:pt>
                <c:pt idx="10">
                  <c:v>Operation Chaining clk=9ns</c:v>
                </c:pt>
                <c:pt idx="11">
                  <c:v>Operation Chaining clk=8ns</c:v>
                </c:pt>
                <c:pt idx="12">
                  <c:v>Operation Chaining clk=7ns</c:v>
                </c:pt>
                <c:pt idx="13">
                  <c:v>Operation Chaining clk=6ns</c:v>
                </c:pt>
                <c:pt idx="14">
                  <c:v>Operation Chaining clk=5ns</c:v>
                </c:pt>
                <c:pt idx="15">
                  <c:v>Operation Chaining clk=4ns</c:v>
                </c:pt>
                <c:pt idx="16">
                  <c:v>Loop Pipelining</c:v>
                </c:pt>
                <c:pt idx="17">
                  <c:v>Arbitrary Precision</c:v>
                </c:pt>
                <c:pt idx="18">
                  <c:v>AXI</c:v>
                </c:pt>
              </c:strCache>
            </c:strRef>
          </c:cat>
          <c:val>
            <c:numRef>
              <c:f>Data!$Z$5:$Z$23</c:f>
              <c:numCache>
                <c:formatCode>General</c:formatCode>
                <c:ptCount val="19"/>
                <c:pt idx="0">
                  <c:v>157.5795776867318</c:v>
                </c:pt>
                <c:pt idx="1">
                  <c:v>144.38348252959861</c:v>
                </c:pt>
                <c:pt idx="2">
                  <c:v>152.99877600979192</c:v>
                </c:pt>
                <c:pt idx="3">
                  <c:v>176.3668430335097</c:v>
                </c:pt>
                <c:pt idx="4">
                  <c:v>130.75313807531381</c:v>
                </c:pt>
                <c:pt idx="5">
                  <c:v>170.09695526450079</c:v>
                </c:pt>
                <c:pt idx="6">
                  <c:v>174.12502176562771</c:v>
                </c:pt>
                <c:pt idx="7">
                  <c:v>129.7521733489036</c:v>
                </c:pt>
                <c:pt idx="8">
                  <c:v>126.31047113805735</c:v>
                </c:pt>
                <c:pt idx="9">
                  <c:v>157.5795776867318</c:v>
                </c:pt>
                <c:pt idx="10">
                  <c:v>168.35016835016836</c:v>
                </c:pt>
                <c:pt idx="11">
                  <c:v>174.73353136466889</c:v>
                </c:pt>
                <c:pt idx="12">
                  <c:v>176.3668430335097</c:v>
                </c:pt>
                <c:pt idx="13">
                  <c:v>225.886604924328</c:v>
                </c:pt>
                <c:pt idx="14">
                  <c:v>216.16947686986595</c:v>
                </c:pt>
                <c:pt idx="15">
                  <c:v>282.0078962210942</c:v>
                </c:pt>
                <c:pt idx="16">
                  <c:v>172.65193370165747</c:v>
                </c:pt>
                <c:pt idx="17">
                  <c:v>0</c:v>
                </c:pt>
                <c:pt idx="18">
                  <c:v>115.86142973004287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9-4776-AC73-0BFE0133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78256"/>
        <c:axId val="386976336"/>
      </c:lineChart>
      <c:catAx>
        <c:axId val="3869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6336"/>
        <c:crosses val="autoZero"/>
        <c:auto val="1"/>
        <c:lblAlgn val="ctr"/>
        <c:lblOffset val="100"/>
        <c:noMultiLvlLbl val="0"/>
      </c:catAx>
      <c:valAx>
        <c:axId val="38697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[MEGAHERTZ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21</xdr:row>
      <xdr:rowOff>28574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A3C296F-B20D-561E-0D95-7123AF68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31</xdr:col>
      <xdr:colOff>0</xdr:colOff>
      <xdr:row>21</xdr:row>
      <xdr:rowOff>42332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29A3832-B07C-C125-F2CD-2D5B30F1B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21</xdr:row>
      <xdr:rowOff>17144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C9D87D-CEE4-899F-F394-B521846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9524</xdr:colOff>
      <xdr:row>21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D5063C-9D36-DF2C-E13D-D70BA59B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0</xdr:row>
      <xdr:rowOff>0</xdr:rowOff>
    </xdr:from>
    <xdr:to>
      <xdr:col>31</xdr:col>
      <xdr:colOff>1</xdr:colOff>
      <xdr:row>21</xdr:row>
      <xdr:rowOff>47624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1414B65-F502-7431-382D-9CD4AF5E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22491</xdr:rowOff>
    </xdr:from>
    <xdr:to>
      <xdr:col>15</xdr:col>
      <xdr:colOff>0</xdr:colOff>
      <xdr:row>43</xdr:row>
      <xdr:rowOff>54241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BDC8EC-7B6F-3051-6D7C-9A402C45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5952</xdr:colOff>
      <xdr:row>22</xdr:row>
      <xdr:rowOff>15477</xdr:rowOff>
    </xdr:from>
    <xdr:to>
      <xdr:col>31</xdr:col>
      <xdr:colOff>11906</xdr:colOff>
      <xdr:row>43</xdr:row>
      <xdr:rowOff>71436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A5EC2FF-790D-CAE7-CCD0-65CCCAF4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C0C-32ED-409A-A129-79038668F278}">
  <dimension ref="B2:Z23"/>
  <sheetViews>
    <sheetView tabSelected="1" zoomScale="90" zoomScaleNormal="90" workbookViewId="0">
      <selection activeCell="X29" sqref="X29"/>
    </sheetView>
  </sheetViews>
  <sheetFormatPr defaultRowHeight="15" x14ac:dyDescent="0.25"/>
  <cols>
    <col min="1" max="1" width="9.140625" style="1"/>
    <col min="2" max="2" width="44" style="1" bestFit="1" customWidth="1"/>
    <col min="3" max="3" width="9.140625" style="1" customWidth="1"/>
    <col min="4" max="11" width="14.42578125" style="1" customWidth="1"/>
    <col min="12" max="12" width="9.140625" style="1" customWidth="1"/>
    <col min="13" max="13" width="26.85546875" style="1" bestFit="1" customWidth="1"/>
    <col min="14" max="20" width="8.7109375" style="1" customWidth="1"/>
    <col min="21" max="21" width="9.140625" style="1"/>
    <col min="22" max="23" width="10" style="1" bestFit="1" customWidth="1"/>
    <col min="24" max="24" width="20.42578125" style="1" bestFit="1" customWidth="1"/>
    <col min="25" max="25" width="9.140625" style="1" bestFit="1" customWidth="1"/>
    <col min="26" max="26" width="32.42578125" style="1" bestFit="1" customWidth="1"/>
    <col min="27" max="16384" width="9.140625" style="1"/>
  </cols>
  <sheetData>
    <row r="2" spans="2:26" ht="18.75" x14ac:dyDescent="0.25">
      <c r="D2" s="14" t="s">
        <v>25</v>
      </c>
      <c r="E2" s="14"/>
      <c r="F2" s="14"/>
      <c r="G2" s="14"/>
      <c r="H2" s="14"/>
      <c r="I2" s="14"/>
      <c r="J2" s="14"/>
      <c r="K2" s="14"/>
      <c r="O2" s="15" t="s">
        <v>28</v>
      </c>
      <c r="P2" s="15"/>
      <c r="Q2" s="15"/>
      <c r="R2" s="15"/>
      <c r="S2" s="15"/>
      <c r="T2" s="15"/>
      <c r="U2" s="15"/>
      <c r="W2" s="15" t="s">
        <v>34</v>
      </c>
      <c r="X2" s="15"/>
      <c r="Y2" s="15"/>
      <c r="Z2" s="15"/>
    </row>
    <row r="3" spans="2:26" ht="18.75" x14ac:dyDescent="0.25">
      <c r="B3" s="13" t="s">
        <v>40</v>
      </c>
      <c r="D3" s="12" t="s">
        <v>32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M3" s="7" t="s">
        <v>33</v>
      </c>
      <c r="O3" s="6" t="s">
        <v>29</v>
      </c>
      <c r="P3" s="7" t="s">
        <v>30</v>
      </c>
      <c r="Q3" s="8" t="s">
        <v>31</v>
      </c>
      <c r="R3" s="7" t="s">
        <v>32</v>
      </c>
      <c r="S3" s="8" t="s">
        <v>20</v>
      </c>
      <c r="T3" s="7" t="s">
        <v>26</v>
      </c>
      <c r="U3" s="9" t="s">
        <v>27</v>
      </c>
      <c r="W3" s="6" t="s">
        <v>35</v>
      </c>
      <c r="X3" s="7" t="s">
        <v>36</v>
      </c>
      <c r="Y3" s="8" t="s">
        <v>37</v>
      </c>
      <c r="Z3" s="7" t="s">
        <v>38</v>
      </c>
    </row>
    <row r="5" spans="2:26" ht="15.75" x14ac:dyDescent="0.25">
      <c r="B5" s="3" t="s">
        <v>0</v>
      </c>
      <c r="D5" s="2">
        <v>0</v>
      </c>
      <c r="E5" s="2">
        <f>1000*0.000454227469163015</f>
        <v>0.45422746916301499</v>
      </c>
      <c r="F5" s="2">
        <f>1000*0.00121548492461443</f>
        <v>1.2154849246144299</v>
      </c>
      <c r="G5" s="2">
        <f>1000*0.000335011805873364</f>
        <v>0.33501180587336399</v>
      </c>
      <c r="H5" s="2">
        <f>1000*0.000921480532269925</f>
        <v>0.92148053226992499</v>
      </c>
      <c r="I5" s="10">
        <f>1000*3.56509622179146E-06</f>
        <v>3.56509622179146E-3</v>
      </c>
      <c r="J5" s="2">
        <f>1000*0.00100705958902836</f>
        <v>1.00705958902836</v>
      </c>
      <c r="K5" s="2">
        <f t="shared" ref="K5:K12" si="0">SUM(D5:J5)</f>
        <v>3.9368294171708857</v>
      </c>
      <c r="M5" s="2">
        <f>(($K5/1000)*$X5*(10^-9))/10</f>
        <v>3.9368294171708857E-12</v>
      </c>
      <c r="O5" s="2">
        <v>275</v>
      </c>
      <c r="P5" s="2">
        <v>32</v>
      </c>
      <c r="Q5" s="2">
        <v>160</v>
      </c>
      <c r="R5" s="2">
        <v>0</v>
      </c>
      <c r="S5" s="2">
        <v>2</v>
      </c>
      <c r="T5" s="2">
        <v>71</v>
      </c>
      <c r="U5" s="2">
        <v>1</v>
      </c>
      <c r="W5" s="2">
        <v>44</v>
      </c>
      <c r="X5" s="2">
        <v>10</v>
      </c>
      <c r="Y5" s="2">
        <v>3.6539999999999999</v>
      </c>
      <c r="Z5" s="2">
        <f>1000*1/($X5-$Y5)</f>
        <v>157.5795776867318</v>
      </c>
    </row>
    <row r="6" spans="2:26" ht="15.75" x14ac:dyDescent="0.25">
      <c r="B6" s="3" t="s">
        <v>1</v>
      </c>
      <c r="D6" s="2">
        <v>0</v>
      </c>
      <c r="E6" s="4">
        <f>1000*0.000370487687177956</f>
        <v>0.37048768717795599</v>
      </c>
      <c r="F6" s="2">
        <f>1000*0.00175678869709373</f>
        <v>1.7567886970937299</v>
      </c>
      <c r="G6" s="1">
        <f>1000*0.000414676789660007</f>
        <v>0.41467678966000698</v>
      </c>
      <c r="H6" s="2">
        <f>1000*0.000838255044072866</f>
        <v>0.838255044072866</v>
      </c>
      <c r="I6" s="11">
        <f>1000*3.34740389007493E-06</f>
        <v>3.3474038900749301E-3</v>
      </c>
      <c r="J6" s="2">
        <f>1000*0.00138199061620981</f>
        <v>1.3819906162098099</v>
      </c>
      <c r="K6" s="5">
        <f t="shared" si="0"/>
        <v>4.7655462381044433</v>
      </c>
      <c r="M6" s="2">
        <f t="shared" ref="M6:M23" si="1">(($K6/1000)*$X6*(10^-9))/10</f>
        <v>4.7655462381044427E-12</v>
      </c>
      <c r="O6" s="4">
        <v>270</v>
      </c>
      <c r="P6" s="2">
        <v>32</v>
      </c>
      <c r="Q6" s="1">
        <v>134</v>
      </c>
      <c r="R6" s="2">
        <v>0</v>
      </c>
      <c r="S6" s="1">
        <v>2</v>
      </c>
      <c r="T6" s="2">
        <v>71</v>
      </c>
      <c r="U6" s="5">
        <v>1</v>
      </c>
      <c r="W6" s="4">
        <v>43</v>
      </c>
      <c r="X6" s="2">
        <v>10</v>
      </c>
      <c r="Y6" s="1">
        <v>3.0739999999999998</v>
      </c>
      <c r="Z6" s="2">
        <f t="shared" ref="Z6:Z23" si="2">1000*1/($X6-$Y6)</f>
        <v>144.38348252959861</v>
      </c>
    </row>
    <row r="7" spans="2:26" ht="15.75" x14ac:dyDescent="0.25">
      <c r="B7" s="3" t="s">
        <v>2</v>
      </c>
      <c r="D7" s="2">
        <v>0</v>
      </c>
      <c r="E7" s="4">
        <f>1000*0.000292603217530996</f>
        <v>0.292603217530996</v>
      </c>
      <c r="F7" s="2">
        <f>1000*0.00109893758781254</f>
        <v>1.09893758781254</v>
      </c>
      <c r="G7" s="1">
        <f>1000*0.000321194878779352</f>
        <v>0.32119487877935199</v>
      </c>
      <c r="H7" s="2">
        <f>1000*0.000590288254898041</f>
        <v>0.59028825489804104</v>
      </c>
      <c r="I7" s="1">
        <f>1000*4.16044849771424E-06</f>
        <v>4.1604484977142402E-3</v>
      </c>
      <c r="J7" s="2">
        <f>1000*0.000937705626711249</f>
        <v>0.93770562671124902</v>
      </c>
      <c r="K7" s="5">
        <f t="shared" si="0"/>
        <v>3.2448900142298922</v>
      </c>
      <c r="M7" s="2">
        <f t="shared" si="1"/>
        <v>3.2448900142298923E-12</v>
      </c>
      <c r="O7" s="4">
        <v>158</v>
      </c>
      <c r="P7" s="2">
        <v>32</v>
      </c>
      <c r="Q7" s="1">
        <v>106</v>
      </c>
      <c r="R7" s="2">
        <v>0</v>
      </c>
      <c r="S7" s="1">
        <v>2</v>
      </c>
      <c r="T7" s="2">
        <v>71</v>
      </c>
      <c r="U7" s="5">
        <v>1</v>
      </c>
      <c r="W7" s="4">
        <v>67</v>
      </c>
      <c r="X7" s="2">
        <v>10</v>
      </c>
      <c r="Y7" s="1">
        <v>3.464</v>
      </c>
      <c r="Z7" s="2">
        <f t="shared" si="2"/>
        <v>152.99877600979192</v>
      </c>
    </row>
    <row r="8" spans="2:26" ht="15.75" x14ac:dyDescent="0.25">
      <c r="B8" s="3" t="s">
        <v>3</v>
      </c>
      <c r="D8" s="2">
        <f>1000*0.00125055154785514</f>
        <v>1.2505515478551401</v>
      </c>
      <c r="E8" s="4">
        <f>1000*0.000096387171652168</f>
        <v>9.6387171652167994E-2</v>
      </c>
      <c r="F8" s="2">
        <f>1000*0.000900532817468047</f>
        <v>0.90053281746804703</v>
      </c>
      <c r="G8" s="1">
        <f>1000*0.000268251897068694</f>
        <v>0.26825189706869401</v>
      </c>
      <c r="H8" s="2">
        <f>1000*0.000260709843132645</f>
        <v>0.260709843132645</v>
      </c>
      <c r="I8" s="1">
        <f>1000*3.14686599267588E-06</f>
        <v>3.1468659926758799E-3</v>
      </c>
      <c r="J8" s="4">
        <f>1000*0.000423992983996868</f>
        <v>0.42399298399686802</v>
      </c>
      <c r="K8" s="2">
        <f t="shared" si="0"/>
        <v>3.203573127166238</v>
      </c>
      <c r="M8" s="2">
        <f t="shared" si="1"/>
        <v>3.2035731271662382E-12</v>
      </c>
      <c r="O8" s="4">
        <v>98</v>
      </c>
      <c r="P8" s="2">
        <v>0</v>
      </c>
      <c r="Q8" s="1">
        <v>72</v>
      </c>
      <c r="R8" s="2">
        <v>1</v>
      </c>
      <c r="S8" s="1">
        <v>2</v>
      </c>
      <c r="T8" s="2">
        <v>71</v>
      </c>
      <c r="U8" s="5">
        <v>1</v>
      </c>
      <c r="W8" s="4">
        <v>57</v>
      </c>
      <c r="X8" s="2">
        <v>10</v>
      </c>
      <c r="Y8" s="1">
        <v>4.33</v>
      </c>
      <c r="Z8" s="2">
        <f t="shared" si="2"/>
        <v>176.3668430335097</v>
      </c>
    </row>
    <row r="9" spans="2:26" ht="15.75" x14ac:dyDescent="0.25">
      <c r="B9" s="3" t="s">
        <v>5</v>
      </c>
      <c r="D9" s="2">
        <v>0</v>
      </c>
      <c r="E9" s="4">
        <f>1000*0.000549273972865194</f>
        <v>0.54927397286519397</v>
      </c>
      <c r="F9" s="2">
        <f>1000*0.00147734209895134</f>
        <v>1.4773420989513399</v>
      </c>
      <c r="G9" s="1">
        <f>1000*0.000566924281883985</f>
        <v>0.56692428188398503</v>
      </c>
      <c r="H9" s="2">
        <f>1000*0.00128164957277477</f>
        <v>1.2816495727747701</v>
      </c>
      <c r="I9" s="1">
        <f>1000*4.17666660723626E-06</f>
        <v>4.1766666072362603E-3</v>
      </c>
      <c r="J9" s="2">
        <f>1000*0.00141210365109146</f>
        <v>1.4121036510914602</v>
      </c>
      <c r="K9" s="5">
        <f t="shared" si="0"/>
        <v>5.2914702441739854</v>
      </c>
      <c r="M9" s="2">
        <f t="shared" si="1"/>
        <v>5.291470244173986E-12</v>
      </c>
      <c r="O9" s="4">
        <v>384</v>
      </c>
      <c r="P9" s="2">
        <v>32</v>
      </c>
      <c r="Q9" s="1">
        <v>281</v>
      </c>
      <c r="R9" s="2">
        <v>0</v>
      </c>
      <c r="S9" s="1">
        <v>2</v>
      </c>
      <c r="T9" s="2">
        <v>71</v>
      </c>
      <c r="U9" s="5">
        <v>1</v>
      </c>
      <c r="W9" s="4">
        <v>39</v>
      </c>
      <c r="X9" s="2">
        <v>10</v>
      </c>
      <c r="Y9" s="1">
        <v>2.3519999999999999</v>
      </c>
      <c r="Z9" s="2">
        <f t="shared" si="2"/>
        <v>130.75313807531381</v>
      </c>
    </row>
    <row r="10" spans="2:26" ht="15.75" x14ac:dyDescent="0.25">
      <c r="B10" s="3" t="s">
        <v>6</v>
      </c>
      <c r="D10" s="2">
        <v>0</v>
      </c>
      <c r="E10" s="4">
        <f>1000*0.000386930099921301</f>
        <v>0.38693009992130101</v>
      </c>
      <c r="F10" s="2">
        <f>1000*0.00143649103119969</f>
        <v>1.4364910311996899</v>
      </c>
      <c r="G10" s="1">
        <f>1000*0.000554204394575208</f>
        <v>0.55420439457520798</v>
      </c>
      <c r="H10" s="2">
        <f>1000*0.000844933383632451</f>
        <v>0.84493338363245096</v>
      </c>
      <c r="I10" s="1">
        <f>1000*4.34802086601849E-06</f>
        <v>4.3480208660184897E-3</v>
      </c>
      <c r="J10" s="2">
        <f>1000*0.000989595428109169</f>
        <v>0.98959542810916901</v>
      </c>
      <c r="K10" s="5">
        <f t="shared" si="0"/>
        <v>4.2165023583038366</v>
      </c>
      <c r="M10" s="2">
        <f t="shared" si="1"/>
        <v>4.2165023583038366E-12</v>
      </c>
      <c r="O10" s="4">
        <v>440</v>
      </c>
      <c r="P10" s="2">
        <v>0</v>
      </c>
      <c r="Q10" s="1">
        <v>567</v>
      </c>
      <c r="R10" s="2">
        <v>0</v>
      </c>
      <c r="S10" s="1">
        <v>4</v>
      </c>
      <c r="T10" s="2">
        <v>71</v>
      </c>
      <c r="U10" s="5">
        <v>1</v>
      </c>
      <c r="W10" s="4">
        <v>39</v>
      </c>
      <c r="X10" s="2">
        <v>10</v>
      </c>
      <c r="Y10" s="1">
        <v>4.1210000000000004</v>
      </c>
      <c r="Z10" s="2">
        <f t="shared" si="2"/>
        <v>170.09695526450079</v>
      </c>
    </row>
    <row r="11" spans="2:26" ht="15.75" x14ac:dyDescent="0.25">
      <c r="B11" s="3" t="s">
        <v>4</v>
      </c>
      <c r="D11" s="2">
        <f>1000*0.00132976192981005</f>
        <v>1.32976192981005</v>
      </c>
      <c r="E11" s="4">
        <f>1000*0.000382625905331224</f>
        <v>0.38262590533122398</v>
      </c>
      <c r="F11" s="2">
        <f>1000*0.000253616715781391</f>
        <v>0.253616715781391</v>
      </c>
      <c r="G11" s="1">
        <f>1000*0.000921033497434109</f>
        <v>0.92103349743410901</v>
      </c>
      <c r="H11" s="2">
        <f>1000*0.000543549307622015</f>
        <v>0.54354930762201503</v>
      </c>
      <c r="I11" s="1">
        <f>1000*0.0000108871217889828</f>
        <v>1.0887121788982801E-2</v>
      </c>
      <c r="J11" s="2">
        <f>1000*0.00058537651784718</f>
        <v>0.58537651784718003</v>
      </c>
      <c r="K11" s="5">
        <f t="shared" si="0"/>
        <v>4.0268509956149519</v>
      </c>
      <c r="M11" s="2">
        <f t="shared" si="1"/>
        <v>4.0268509956149517E-12</v>
      </c>
      <c r="O11" s="4">
        <v>159</v>
      </c>
      <c r="P11" s="2">
        <v>0</v>
      </c>
      <c r="Q11" s="1">
        <v>147</v>
      </c>
      <c r="R11" s="2">
        <v>1</v>
      </c>
      <c r="S11" s="1">
        <v>2</v>
      </c>
      <c r="T11" s="2">
        <v>71</v>
      </c>
      <c r="U11" s="5">
        <v>1</v>
      </c>
      <c r="W11" s="4">
        <v>59</v>
      </c>
      <c r="X11" s="2">
        <v>10</v>
      </c>
      <c r="Y11" s="1">
        <v>4.2569999999999997</v>
      </c>
      <c r="Z11" s="2">
        <f t="shared" si="2"/>
        <v>174.12502176562771</v>
      </c>
    </row>
    <row r="12" spans="2:26" ht="15.75" x14ac:dyDescent="0.25">
      <c r="B12" s="3" t="s">
        <v>7</v>
      </c>
      <c r="D12" s="2">
        <v>0</v>
      </c>
      <c r="E12" s="4">
        <f>1000*0.000678331591188908</f>
        <v>0.67833159118890796</v>
      </c>
      <c r="F12" s="2">
        <f>1000*0.00206981063820422</f>
        <v>2.0698106382042201</v>
      </c>
      <c r="G12" s="1">
        <f>1000*0.000592758471611887</f>
        <v>0.59275847161188699</v>
      </c>
      <c r="H12" s="2">
        <f>1000*0.00134217948652804</f>
        <v>1.3421794865280401</v>
      </c>
      <c r="I12" s="1">
        <f>1000*5.81711128688767E-06</f>
        <v>5.8171112868876697E-3</v>
      </c>
      <c r="J12" s="2">
        <f>1000*0.00187364441808313</f>
        <v>1.87364441808313</v>
      </c>
      <c r="K12" s="5">
        <f t="shared" si="0"/>
        <v>6.5625417169030733</v>
      </c>
      <c r="M12" s="2">
        <f t="shared" si="1"/>
        <v>6.5625417169030737E-12</v>
      </c>
      <c r="O12" s="4">
        <v>533</v>
      </c>
      <c r="P12" s="2">
        <v>32</v>
      </c>
      <c r="Q12" s="1">
        <v>452</v>
      </c>
      <c r="R12" s="2">
        <v>0</v>
      </c>
      <c r="S12" s="1">
        <v>2</v>
      </c>
      <c r="T12" s="2">
        <v>71</v>
      </c>
      <c r="U12" s="5">
        <v>1</v>
      </c>
      <c r="W12" s="4">
        <v>36</v>
      </c>
      <c r="X12" s="2">
        <v>10</v>
      </c>
      <c r="Y12" s="1">
        <v>2.2930000000000001</v>
      </c>
      <c r="Z12" s="2">
        <f t="shared" si="2"/>
        <v>129.7521733489036</v>
      </c>
    </row>
    <row r="13" spans="2:26" ht="15.75" x14ac:dyDescent="0.25">
      <c r="B13" s="3" t="s">
        <v>8</v>
      </c>
      <c r="D13" s="2">
        <v>0</v>
      </c>
      <c r="E13" s="4">
        <f>1000*0.000579702260438353</f>
        <v>0.57970226043835305</v>
      </c>
      <c r="F13" s="2">
        <f>1000*0.00253043416887522</f>
        <v>2.5304341688752201</v>
      </c>
      <c r="G13" s="1">
        <f>1000*0.00102545856498182</f>
        <v>1.02545856498182</v>
      </c>
      <c r="H13" s="2">
        <f>1000*0.00140325899701566</f>
        <v>1.4032589970156599</v>
      </c>
      <c r="I13" s="1">
        <f>1000*5.51955554328742E-06</f>
        <v>5.51955554328742E-3</v>
      </c>
      <c r="J13" s="2">
        <f>1000*0.00172411510720849</f>
        <v>1.7241151072084899</v>
      </c>
      <c r="K13" s="5">
        <f>SUM(D13:J13)</f>
        <v>7.2684886540628302</v>
      </c>
      <c r="M13" s="2">
        <f t="shared" si="1"/>
        <v>7.2684886540628295E-12</v>
      </c>
      <c r="O13" s="4">
        <v>1016</v>
      </c>
      <c r="P13" s="2">
        <v>0</v>
      </c>
      <c r="Q13" s="1">
        <v>717</v>
      </c>
      <c r="R13" s="2">
        <v>0</v>
      </c>
      <c r="S13" s="1">
        <v>8</v>
      </c>
      <c r="T13" s="2">
        <v>71</v>
      </c>
      <c r="U13" s="5">
        <v>1</v>
      </c>
      <c r="W13" s="4">
        <v>36</v>
      </c>
      <c r="X13" s="2">
        <v>10</v>
      </c>
      <c r="Y13" s="1">
        <v>2.0830000000000002</v>
      </c>
      <c r="Z13" s="2">
        <f t="shared" si="2"/>
        <v>126.31047113805735</v>
      </c>
    </row>
    <row r="14" spans="2:26" ht="15.75" x14ac:dyDescent="0.25">
      <c r="B14" s="3" t="s">
        <v>9</v>
      </c>
      <c r="D14" s="2">
        <v>0</v>
      </c>
      <c r="E14" s="4">
        <f>1000*0.000455035944469273</f>
        <v>0.45503594446927298</v>
      </c>
      <c r="F14" s="2">
        <f>1000*0.00121570681221783</f>
        <v>1.2157068122178301</v>
      </c>
      <c r="G14" s="1">
        <f>1000*0.000343570427503437</f>
        <v>0.34357042750343703</v>
      </c>
      <c r="H14" s="2">
        <f>1000*0.000925468280911446</f>
        <v>0.92546828091144606</v>
      </c>
      <c r="I14" s="1">
        <f>1000*3.49782999364834E-06</f>
        <v>3.4978299936483399E-3</v>
      </c>
      <c r="J14" s="2">
        <f>1000*0.00101449550129473</f>
        <v>1.0144955012947299</v>
      </c>
      <c r="K14" s="5">
        <f t="shared" ref="K14:K21" si="3">SUM(D14:J14)</f>
        <v>3.957774796390364</v>
      </c>
      <c r="M14" s="2">
        <f t="shared" si="1"/>
        <v>3.9577747963903639E-12</v>
      </c>
      <c r="O14" s="4">
        <v>275</v>
      </c>
      <c r="P14" s="2">
        <v>32</v>
      </c>
      <c r="Q14" s="1">
        <v>160</v>
      </c>
      <c r="R14" s="2">
        <v>0</v>
      </c>
      <c r="S14" s="1">
        <v>2</v>
      </c>
      <c r="T14" s="2">
        <v>71</v>
      </c>
      <c r="U14" s="5">
        <v>1</v>
      </c>
      <c r="W14" s="4">
        <v>44</v>
      </c>
      <c r="X14" s="2">
        <v>10</v>
      </c>
      <c r="Y14" s="1">
        <v>3.6539999999999999</v>
      </c>
      <c r="Z14" s="2">
        <f t="shared" si="2"/>
        <v>157.5795776867318</v>
      </c>
    </row>
    <row r="15" spans="2:26" ht="15.75" x14ac:dyDescent="0.25">
      <c r="B15" s="3" t="s">
        <v>10</v>
      </c>
      <c r="D15" s="2">
        <v>0</v>
      </c>
      <c r="E15" s="4">
        <f>1000*0.000370885303709656</f>
        <v>0.370885303709656</v>
      </c>
      <c r="F15" s="2">
        <f>1000*0.00160096236504614</f>
        <v>1.60096236504614</v>
      </c>
      <c r="G15" s="1">
        <f>1000*0.000303795328363776</f>
        <v>0.30379532836377598</v>
      </c>
      <c r="H15" s="2">
        <f>1000*0.000868793693371117</f>
        <v>0.868793693371117</v>
      </c>
      <c r="I15" s="1">
        <f>1000*3.56508598997607E-06</f>
        <v>3.5650859899760698E-3</v>
      </c>
      <c r="J15" s="2">
        <f>1000*0.00085090019274503</f>
        <v>0.85090019274503004</v>
      </c>
      <c r="K15" s="5">
        <f t="shared" si="3"/>
        <v>3.9989019692256953</v>
      </c>
      <c r="M15" s="2">
        <f t="shared" si="1"/>
        <v>3.5990117723031265E-12</v>
      </c>
      <c r="O15" s="4">
        <v>276</v>
      </c>
      <c r="P15" s="2">
        <v>32</v>
      </c>
      <c r="Q15" s="1">
        <v>226</v>
      </c>
      <c r="R15" s="2">
        <v>0</v>
      </c>
      <c r="S15" s="1">
        <v>2</v>
      </c>
      <c r="T15" s="2">
        <v>71</v>
      </c>
      <c r="U15" s="5">
        <v>1</v>
      </c>
      <c r="W15" s="4">
        <v>50</v>
      </c>
      <c r="X15" s="2">
        <v>9</v>
      </c>
      <c r="Y15" s="1">
        <v>3.06</v>
      </c>
      <c r="Z15" s="2">
        <f t="shared" si="2"/>
        <v>168.35016835016836</v>
      </c>
    </row>
    <row r="16" spans="2:26" ht="15.75" x14ac:dyDescent="0.25">
      <c r="B16" s="3" t="s">
        <v>11</v>
      </c>
      <c r="D16" s="2">
        <v>0</v>
      </c>
      <c r="E16" s="4">
        <f>1000*0.000432465254561976</f>
        <v>0.43246525456197599</v>
      </c>
      <c r="F16" s="2">
        <f>1000*0.00179032096639276</f>
        <v>1.7903209663927602</v>
      </c>
      <c r="G16" s="1">
        <f>1000*0.000363626226317137</f>
        <v>0.36362622631713698</v>
      </c>
      <c r="H16" s="2">
        <f>1000*0.00102812109980732</f>
        <v>1.02812109980732</v>
      </c>
      <c r="I16" s="1">
        <f>1000*3.38650943376706E-06</f>
        <v>3.3865094337670598E-3</v>
      </c>
      <c r="J16" s="2">
        <f>1000*0.00107843766454607</f>
        <v>1.07843766454607</v>
      </c>
      <c r="K16" s="5">
        <f t="shared" si="3"/>
        <v>4.6963577210590302</v>
      </c>
      <c r="M16" s="2">
        <f t="shared" si="1"/>
        <v>3.7570861768472243E-12</v>
      </c>
      <c r="O16" s="4">
        <v>276</v>
      </c>
      <c r="P16" s="2">
        <v>32</v>
      </c>
      <c r="Q16" s="1">
        <v>226</v>
      </c>
      <c r="R16" s="2">
        <v>0</v>
      </c>
      <c r="S16" s="1">
        <v>2</v>
      </c>
      <c r="T16" s="2">
        <v>71</v>
      </c>
      <c r="U16" s="5">
        <v>1</v>
      </c>
      <c r="W16" s="4">
        <v>44</v>
      </c>
      <c r="X16" s="2">
        <v>8</v>
      </c>
      <c r="Y16" s="1">
        <v>2.2770000000000001</v>
      </c>
      <c r="Z16" s="2">
        <f t="shared" si="2"/>
        <v>174.73353136466889</v>
      </c>
    </row>
    <row r="17" spans="2:26" ht="15.75" x14ac:dyDescent="0.25">
      <c r="B17" s="3" t="s">
        <v>12</v>
      </c>
      <c r="D17" s="2">
        <v>0</v>
      </c>
      <c r="E17" s="4">
        <f>1000*0.000741177122108638</f>
        <v>0.74117712210863795</v>
      </c>
      <c r="F17" s="2">
        <f>1000*0.000793763087131083</f>
        <v>0.79376308713108301</v>
      </c>
      <c r="G17" s="1">
        <f>1000*0.00162343855481595</f>
        <v>1.62343855481595</v>
      </c>
      <c r="H17" s="2">
        <f>1000*0.00104413053486496</f>
        <v>1.0441305348649599</v>
      </c>
      <c r="I17" s="1">
        <f>1000*6.84354336044635E-06</f>
        <v>6.8435433604463504E-3</v>
      </c>
      <c r="J17" s="2">
        <f>1000*0.000789120444096625</f>
        <v>0.78912044409662496</v>
      </c>
      <c r="K17" s="5">
        <f t="shared" si="3"/>
        <v>4.9984732863777026</v>
      </c>
      <c r="M17" s="2">
        <f t="shared" si="1"/>
        <v>3.4989313004643919E-12</v>
      </c>
      <c r="O17" s="4">
        <v>186</v>
      </c>
      <c r="P17" s="2">
        <v>32</v>
      </c>
      <c r="Q17" s="1">
        <v>222</v>
      </c>
      <c r="R17" s="2">
        <v>0</v>
      </c>
      <c r="S17" s="1">
        <v>4</v>
      </c>
      <c r="T17" s="2">
        <v>71</v>
      </c>
      <c r="U17" s="5">
        <v>1</v>
      </c>
      <c r="W17" s="4">
        <v>47</v>
      </c>
      <c r="X17" s="2">
        <v>7</v>
      </c>
      <c r="Y17" s="1">
        <v>1.33</v>
      </c>
      <c r="Z17" s="2">
        <f t="shared" si="2"/>
        <v>176.3668430335097</v>
      </c>
    </row>
    <row r="18" spans="2:26" ht="15.75" x14ac:dyDescent="0.25">
      <c r="B18" s="3" t="s">
        <v>13</v>
      </c>
      <c r="D18" s="2">
        <v>0</v>
      </c>
      <c r="E18" s="4">
        <f>1000*0.000651370792184025</f>
        <v>0.65137079218402505</v>
      </c>
      <c r="F18" s="2">
        <f>1000*0.000885166635271162</f>
        <v>0.88516663527116202</v>
      </c>
      <c r="G18" s="1">
        <f>1000*0.00154896057210863</f>
        <v>1.5489605721086301</v>
      </c>
      <c r="H18" s="2">
        <f>1000*0.000758039066568017</f>
        <v>0.75803906656801701</v>
      </c>
      <c r="I18" s="1">
        <f>1000*5.97452208239702E-06</f>
        <v>5.9745220823970201E-3</v>
      </c>
      <c r="J18" s="2">
        <f>1000*0.000693372800014913</f>
        <v>0.69337280001491297</v>
      </c>
      <c r="K18" s="5">
        <f t="shared" si="3"/>
        <v>4.5428843882291439</v>
      </c>
      <c r="M18" s="2">
        <f t="shared" si="1"/>
        <v>2.7257306329374865E-12</v>
      </c>
      <c r="O18" s="4">
        <v>186</v>
      </c>
      <c r="P18" s="2">
        <v>32</v>
      </c>
      <c r="Q18" s="1">
        <v>241</v>
      </c>
      <c r="R18" s="2">
        <v>0</v>
      </c>
      <c r="S18" s="1">
        <v>4</v>
      </c>
      <c r="T18" s="2">
        <v>71</v>
      </c>
      <c r="U18" s="5">
        <v>1</v>
      </c>
      <c r="W18" s="4">
        <v>53</v>
      </c>
      <c r="X18" s="2">
        <v>6</v>
      </c>
      <c r="Y18" s="1">
        <v>1.573</v>
      </c>
      <c r="Z18" s="2">
        <f t="shared" si="2"/>
        <v>225.886604924328</v>
      </c>
    </row>
    <row r="19" spans="2:26" ht="15.75" x14ac:dyDescent="0.25">
      <c r="B19" s="3" t="s">
        <v>14</v>
      </c>
      <c r="D19" s="2">
        <v>0</v>
      </c>
      <c r="E19" s="4">
        <f>1000*0.000556948827579618</f>
        <v>0.55694882757961806</v>
      </c>
      <c r="F19" s="2">
        <f>1000*0.00317416270263493</f>
        <v>3.1741627026349302</v>
      </c>
      <c r="G19" s="1">
        <f>1000*0.000278797728242353</f>
        <v>0.27879772824235299</v>
      </c>
      <c r="H19" s="2">
        <f>1000*0.000888140755705535</f>
        <v>0.88814075570553497</v>
      </c>
      <c r="I19" s="1">
        <f>1000*4.53235816166853E-06</f>
        <v>4.5323581616685303E-3</v>
      </c>
      <c r="J19" s="2">
        <f>1000*0.00085364980623126</f>
        <v>0.85364980623125997</v>
      </c>
      <c r="K19" s="5">
        <f t="shared" si="3"/>
        <v>5.756232178555365</v>
      </c>
      <c r="M19" s="2">
        <f t="shared" si="1"/>
        <v>2.8781160892776826E-12</v>
      </c>
      <c r="O19" s="4">
        <v>186</v>
      </c>
      <c r="P19" s="2">
        <v>32</v>
      </c>
      <c r="Q19" s="1">
        <v>258</v>
      </c>
      <c r="R19" s="2">
        <v>0</v>
      </c>
      <c r="S19" s="1">
        <v>4</v>
      </c>
      <c r="T19" s="2">
        <v>71</v>
      </c>
      <c r="U19" s="5">
        <v>1</v>
      </c>
      <c r="W19" s="4">
        <v>44</v>
      </c>
      <c r="X19" s="2">
        <v>5</v>
      </c>
      <c r="Y19" s="1">
        <v>0.374</v>
      </c>
      <c r="Z19" s="2">
        <f t="shared" si="2"/>
        <v>216.16947686986595</v>
      </c>
    </row>
    <row r="20" spans="2:26" ht="15.75" x14ac:dyDescent="0.25">
      <c r="B20" s="3" t="s">
        <v>15</v>
      </c>
      <c r="D20" s="2">
        <v>0</v>
      </c>
      <c r="E20" s="4">
        <f>1000*0.000572139630094171</f>
        <v>0.57213963009417101</v>
      </c>
      <c r="F20" s="2">
        <f>1000*0.00380484666675329</f>
        <v>3.8048466667532899</v>
      </c>
      <c r="G20" s="1">
        <f>1000*0.000247060845140368</f>
        <v>0.24706084514036802</v>
      </c>
      <c r="H20" s="2">
        <f>1000*0.00072020455263555</f>
        <v>0.72020455263554994</v>
      </c>
      <c r="I20" s="1">
        <f>1000*2.47698403654795E-06</f>
        <v>2.4769840365479502E-3</v>
      </c>
      <c r="J20" s="2">
        <f>1000*0.000686214421875775</f>
        <v>0.68621442187577497</v>
      </c>
      <c r="K20" s="5">
        <f t="shared" si="3"/>
        <v>6.032943100535701</v>
      </c>
      <c r="M20" s="2">
        <f t="shared" si="1"/>
        <v>2.4131772402142805E-12</v>
      </c>
      <c r="O20" s="4">
        <v>188</v>
      </c>
      <c r="P20" s="2">
        <v>32</v>
      </c>
      <c r="Q20" s="1">
        <v>376</v>
      </c>
      <c r="R20" s="2">
        <v>0</v>
      </c>
      <c r="S20" s="1">
        <v>4</v>
      </c>
      <c r="T20" s="2">
        <v>71</v>
      </c>
      <c r="U20" s="5">
        <v>1</v>
      </c>
      <c r="W20" s="4">
        <v>53</v>
      </c>
      <c r="X20" s="2">
        <v>4</v>
      </c>
      <c r="Y20" s="1">
        <v>0.45400000000000001</v>
      </c>
      <c r="Z20" s="2">
        <f t="shared" si="2"/>
        <v>282.0078962210942</v>
      </c>
    </row>
    <row r="21" spans="2:26" x14ac:dyDescent="0.25">
      <c r="B21" s="2" t="s">
        <v>39</v>
      </c>
      <c r="D21" s="2">
        <v>0</v>
      </c>
      <c r="E21" s="4">
        <f>1000*0.000350732821971178</f>
        <v>0.350732821971178</v>
      </c>
      <c r="F21" s="2">
        <f>1000*0.000642283877823502</f>
        <v>0.64228387782350205</v>
      </c>
      <c r="G21" s="1">
        <f>1000*0.00118907087016851</f>
        <v>1.18907087016851</v>
      </c>
      <c r="H21" s="2">
        <f>1000*0.00138780823908746</f>
        <v>1.38780823908746</v>
      </c>
      <c r="I21" s="1">
        <f>1000*0.000018733164324658</f>
        <v>1.8733164324657998E-2</v>
      </c>
      <c r="J21" s="2">
        <f>1000*0.00190816610120237</f>
        <v>1.9081661012023701</v>
      </c>
      <c r="K21" s="5">
        <f t="shared" si="3"/>
        <v>5.4967950745776779</v>
      </c>
      <c r="M21" s="2">
        <f t="shared" si="1"/>
        <v>5.4967950745776776E-12</v>
      </c>
      <c r="O21" s="4">
        <v>311</v>
      </c>
      <c r="P21" s="2">
        <v>0</v>
      </c>
      <c r="Q21" s="1">
        <v>458</v>
      </c>
      <c r="R21" s="2">
        <v>0</v>
      </c>
      <c r="S21" s="1">
        <v>2</v>
      </c>
      <c r="T21" s="2">
        <v>71</v>
      </c>
      <c r="U21" s="5">
        <v>1</v>
      </c>
      <c r="W21" s="4">
        <v>16</v>
      </c>
      <c r="X21" s="2">
        <v>10</v>
      </c>
      <c r="Y21" s="1">
        <v>4.2080000000000002</v>
      </c>
      <c r="Z21" s="2">
        <f t="shared" si="2"/>
        <v>172.65193370165747</v>
      </c>
    </row>
    <row r="22" spans="2:26" ht="15.75" x14ac:dyDescent="0.25">
      <c r="B22" s="3" t="s">
        <v>16</v>
      </c>
      <c r="D22" s="2"/>
      <c r="E22" s="4"/>
      <c r="F22" s="2"/>
      <c r="H22" s="2"/>
      <c r="J22" s="2"/>
      <c r="K22" s="5"/>
      <c r="M22" s="2">
        <f t="shared" si="1"/>
        <v>0</v>
      </c>
      <c r="O22" s="4"/>
      <c r="P22" s="2"/>
      <c r="R22" s="2"/>
      <c r="T22" s="2"/>
      <c r="U22" s="5"/>
      <c r="W22" s="4"/>
      <c r="X22" s="2"/>
      <c r="Z22" s="2" t="e">
        <f t="shared" si="2"/>
        <v>#DIV/0!</v>
      </c>
    </row>
    <row r="23" spans="2:26" ht="15.75" x14ac:dyDescent="0.25">
      <c r="B23" s="3" t="s">
        <v>17</v>
      </c>
      <c r="D23" s="2">
        <v>0</v>
      </c>
      <c r="E23" s="4">
        <f>1000*0.000361682672519237</f>
        <v>0.36168267251923703</v>
      </c>
      <c r="F23" s="2">
        <f>1000*0.00240964675322175</f>
        <v>2.4096467532217498</v>
      </c>
      <c r="G23" s="1">
        <v>0</v>
      </c>
      <c r="H23" s="2">
        <f>1000*0.00796325504779816</f>
        <v>7.9632550477981603</v>
      </c>
      <c r="I23" s="2">
        <f>1000*0.0000082827373262262</f>
        <v>8.2827373262262007E-3</v>
      </c>
      <c r="J23" s="2">
        <f>1000*0.00553872575983405</f>
        <v>5.5387257598340502</v>
      </c>
      <c r="K23" s="5">
        <f>SUM(D23:J23)</f>
        <v>16.281592970699425</v>
      </c>
      <c r="M23" s="2">
        <f t="shared" si="1"/>
        <v>1.6281592970699424E-11</v>
      </c>
      <c r="O23" s="4">
        <v>739</v>
      </c>
      <c r="P23" s="2">
        <v>0</v>
      </c>
      <c r="Q23" s="1">
        <v>699</v>
      </c>
      <c r="R23" s="2">
        <v>0</v>
      </c>
      <c r="S23" s="1">
        <v>0</v>
      </c>
      <c r="T23" s="2">
        <v>93</v>
      </c>
      <c r="U23" s="5">
        <v>1</v>
      </c>
      <c r="W23" s="4">
        <v>11</v>
      </c>
      <c r="X23" s="2">
        <v>10</v>
      </c>
      <c r="Y23" s="1">
        <v>1.369</v>
      </c>
      <c r="Z23" s="2">
        <f t="shared" si="2"/>
        <v>115.86142973004287</v>
      </c>
    </row>
  </sheetData>
  <mergeCells count="3">
    <mergeCell ref="D2:K2"/>
    <mergeCell ref="O2:U2"/>
    <mergeCell ref="W2:Z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BCC-9C4A-4E14-9D73-0D493D4131E5}">
  <dimension ref="A1"/>
  <sheetViews>
    <sheetView zoomScale="90" zoomScaleNormal="90" workbookViewId="0">
      <selection activeCell="R31" sqref="R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E2EC-FA3F-408E-894E-500D2051AE9F}">
  <dimension ref="A1"/>
  <sheetViews>
    <sheetView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9ED9-2CBF-4D46-A45F-CD96D1B57BCD}">
  <dimension ref="A1"/>
  <sheetViews>
    <sheetView zoomScale="80" zoomScaleNormal="80" workbookViewId="0">
      <selection activeCell="S45" sqref="S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Dynamic Power Plots</vt:lpstr>
      <vt:lpstr>Utilization Report Plots</vt:lpstr>
      <vt:lpstr>Timing Report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2024-05-15T15:17:21Z</dcterms:created>
  <dcterms:modified xsi:type="dcterms:W3CDTF">2024-05-17T15:55:08Z</dcterms:modified>
</cp:coreProperties>
</file>