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isco D\universita\magistrale\sintesi-ad-alto-livello-di-sistemi-digitali\progetti\progetto1\reports\vivado\"/>
    </mc:Choice>
  </mc:AlternateContent>
  <xr:revisionPtr revIDLastSave="0" documentId="13_ncr:1_{BBC25382-13D7-47F8-9ED3-D5A64A9B245F}" xr6:coauthVersionLast="47" xr6:coauthVersionMax="47" xr10:uidLastSave="{00000000-0000-0000-0000-000000000000}"/>
  <bookViews>
    <workbookView xWindow="-120" yWindow="-120" windowWidth="29040" windowHeight="15720" xr2:uid="{E7BCC947-1515-412E-876B-4510C27535DC}"/>
  </bookViews>
  <sheets>
    <sheet name="Data" sheetId="1" r:id="rId1"/>
    <sheet name="Plo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1" i="1"/>
  <c r="L37" i="1" s="1"/>
  <c r="L10" i="1"/>
  <c r="L36" i="1" s="1"/>
  <c r="L9" i="1"/>
  <c r="L61" i="1" s="1"/>
  <c r="L8" i="1"/>
  <c r="L7" i="1"/>
  <c r="L6" i="1"/>
  <c r="L5" i="1"/>
  <c r="L31" i="1" s="1"/>
  <c r="L32" i="1"/>
  <c r="L33" i="1"/>
  <c r="L34" i="1"/>
  <c r="L38" i="1"/>
  <c r="L30" i="1"/>
  <c r="L4" i="1"/>
  <c r="L41" i="1"/>
  <c r="L42" i="1"/>
  <c r="L43" i="1"/>
  <c r="L44" i="1"/>
  <c r="L45" i="1"/>
  <c r="L46" i="1"/>
  <c r="L40" i="1"/>
  <c r="L49" i="1"/>
  <c r="L50" i="1"/>
  <c r="L51" i="1"/>
  <c r="L48" i="1"/>
  <c r="L25" i="1"/>
  <c r="E74" i="1"/>
  <c r="F74" i="1"/>
  <c r="G74" i="1"/>
  <c r="H74" i="1"/>
  <c r="I74" i="1"/>
  <c r="J74" i="1"/>
  <c r="K74" i="1"/>
  <c r="L74" i="1"/>
  <c r="E75" i="1"/>
  <c r="F75" i="1"/>
  <c r="G75" i="1"/>
  <c r="H75" i="1"/>
  <c r="I75" i="1"/>
  <c r="J75" i="1"/>
  <c r="K75" i="1"/>
  <c r="L75" i="1"/>
  <c r="E76" i="1"/>
  <c r="F76" i="1"/>
  <c r="G76" i="1"/>
  <c r="H76" i="1"/>
  <c r="I76" i="1"/>
  <c r="J76" i="1"/>
  <c r="K76" i="1"/>
  <c r="L76" i="1"/>
  <c r="E77" i="1"/>
  <c r="F77" i="1"/>
  <c r="G77" i="1"/>
  <c r="H77" i="1"/>
  <c r="I77" i="1"/>
  <c r="J77" i="1"/>
  <c r="K77" i="1"/>
  <c r="L77" i="1"/>
  <c r="D75" i="1"/>
  <c r="D76" i="1"/>
  <c r="D77" i="1"/>
  <c r="D74" i="1"/>
  <c r="E56" i="1"/>
  <c r="F56" i="1"/>
  <c r="G56" i="1"/>
  <c r="H56" i="1"/>
  <c r="I56" i="1"/>
  <c r="J56" i="1"/>
  <c r="K56" i="1"/>
  <c r="L56" i="1"/>
  <c r="E57" i="1"/>
  <c r="F57" i="1"/>
  <c r="G57" i="1"/>
  <c r="H57" i="1"/>
  <c r="I57" i="1"/>
  <c r="J57" i="1"/>
  <c r="K57" i="1"/>
  <c r="E58" i="1"/>
  <c r="F58" i="1"/>
  <c r="G58" i="1"/>
  <c r="H58" i="1"/>
  <c r="I58" i="1"/>
  <c r="J58" i="1"/>
  <c r="K58" i="1"/>
  <c r="L58" i="1"/>
  <c r="E59" i="1"/>
  <c r="F59" i="1"/>
  <c r="G59" i="1"/>
  <c r="H59" i="1"/>
  <c r="I59" i="1"/>
  <c r="J59" i="1"/>
  <c r="K59" i="1"/>
  <c r="L59" i="1"/>
  <c r="E60" i="1"/>
  <c r="F60" i="1"/>
  <c r="G60" i="1"/>
  <c r="H60" i="1"/>
  <c r="I60" i="1"/>
  <c r="J60" i="1"/>
  <c r="K60" i="1"/>
  <c r="L60" i="1"/>
  <c r="E61" i="1"/>
  <c r="F61" i="1"/>
  <c r="G61" i="1"/>
  <c r="H61" i="1"/>
  <c r="I61" i="1"/>
  <c r="J61" i="1"/>
  <c r="K61" i="1"/>
  <c r="E62" i="1"/>
  <c r="F62" i="1"/>
  <c r="G62" i="1"/>
  <c r="H62" i="1"/>
  <c r="I62" i="1"/>
  <c r="J62" i="1"/>
  <c r="K62" i="1"/>
  <c r="L62" i="1"/>
  <c r="E63" i="1"/>
  <c r="F63" i="1"/>
  <c r="G63" i="1"/>
  <c r="H63" i="1"/>
  <c r="I63" i="1"/>
  <c r="J63" i="1"/>
  <c r="K63" i="1"/>
  <c r="L63" i="1"/>
  <c r="E64" i="1"/>
  <c r="F64" i="1"/>
  <c r="G64" i="1"/>
  <c r="H64" i="1"/>
  <c r="I64" i="1"/>
  <c r="J64" i="1"/>
  <c r="K64" i="1"/>
  <c r="L64" i="1"/>
  <c r="L66" i="1"/>
  <c r="L67" i="1"/>
  <c r="L68" i="1"/>
  <c r="L70" i="1"/>
  <c r="L71" i="1"/>
  <c r="L72" i="1"/>
  <c r="E66" i="1"/>
  <c r="F66" i="1"/>
  <c r="G66" i="1"/>
  <c r="H66" i="1"/>
  <c r="I66" i="1"/>
  <c r="J66" i="1"/>
  <c r="K66" i="1"/>
  <c r="E67" i="1"/>
  <c r="F67" i="1"/>
  <c r="G67" i="1"/>
  <c r="H67" i="1"/>
  <c r="I67" i="1"/>
  <c r="J67" i="1"/>
  <c r="K67" i="1"/>
  <c r="E68" i="1"/>
  <c r="F68" i="1"/>
  <c r="G68" i="1"/>
  <c r="H68" i="1"/>
  <c r="I68" i="1"/>
  <c r="J68" i="1"/>
  <c r="K68" i="1"/>
  <c r="E70" i="1"/>
  <c r="F70" i="1"/>
  <c r="G70" i="1"/>
  <c r="H70" i="1"/>
  <c r="I70" i="1"/>
  <c r="J70" i="1"/>
  <c r="K70" i="1"/>
  <c r="E71" i="1"/>
  <c r="F71" i="1"/>
  <c r="G71" i="1"/>
  <c r="H71" i="1"/>
  <c r="I71" i="1"/>
  <c r="J71" i="1"/>
  <c r="K71" i="1"/>
  <c r="E72" i="1"/>
  <c r="F72" i="1"/>
  <c r="G72" i="1"/>
  <c r="H72" i="1"/>
  <c r="I72" i="1"/>
  <c r="J72" i="1"/>
  <c r="K72" i="1"/>
  <c r="D67" i="1"/>
  <c r="D68" i="1"/>
  <c r="D70" i="1"/>
  <c r="D71" i="1"/>
  <c r="D72" i="1"/>
  <c r="D66" i="1"/>
  <c r="D57" i="1"/>
  <c r="D58" i="1"/>
  <c r="D59" i="1"/>
  <c r="D60" i="1"/>
  <c r="D61" i="1"/>
  <c r="D62" i="1"/>
  <c r="D63" i="1"/>
  <c r="D64" i="1"/>
  <c r="D56" i="1"/>
  <c r="J48" i="1"/>
  <c r="I48" i="1"/>
  <c r="H48" i="1"/>
  <c r="G48" i="1"/>
  <c r="F48" i="1"/>
  <c r="E48" i="1"/>
  <c r="D48" i="1"/>
  <c r="K48" i="1"/>
  <c r="K31" i="1"/>
  <c r="K32" i="1"/>
  <c r="K33" i="1"/>
  <c r="K34" i="1"/>
  <c r="K35" i="1"/>
  <c r="K36" i="1"/>
  <c r="K37" i="1"/>
  <c r="K38" i="1"/>
  <c r="K30" i="1"/>
  <c r="K12" i="1"/>
  <c r="K11" i="1"/>
  <c r="K10" i="1"/>
  <c r="K9" i="1"/>
  <c r="K8" i="1"/>
  <c r="K7" i="1"/>
  <c r="K6" i="1"/>
  <c r="K5" i="1"/>
  <c r="K4" i="1"/>
  <c r="K50" i="1"/>
  <c r="K49" i="1"/>
  <c r="K41" i="1"/>
  <c r="K42" i="1"/>
  <c r="K43" i="1"/>
  <c r="K44" i="1"/>
  <c r="K45" i="1"/>
  <c r="K46" i="1"/>
  <c r="K40" i="1"/>
  <c r="K25" i="1"/>
  <c r="J12" i="1"/>
  <c r="J38" i="1" s="1"/>
  <c r="J11" i="1"/>
  <c r="J10" i="1"/>
  <c r="J36" i="1" s="1"/>
  <c r="J9" i="1"/>
  <c r="J35" i="1" s="1"/>
  <c r="J8" i="1"/>
  <c r="J34" i="1" s="1"/>
  <c r="J7" i="1"/>
  <c r="J33" i="1" s="1"/>
  <c r="J6" i="1"/>
  <c r="J5" i="1"/>
  <c r="J31" i="1" s="1"/>
  <c r="J4" i="1"/>
  <c r="J30" i="1" s="1"/>
  <c r="J50" i="1"/>
  <c r="J49" i="1"/>
  <c r="J41" i="1"/>
  <c r="J42" i="1"/>
  <c r="J43" i="1"/>
  <c r="J44" i="1"/>
  <c r="J45" i="1"/>
  <c r="J46" i="1"/>
  <c r="J40" i="1"/>
  <c r="J32" i="1"/>
  <c r="J37" i="1"/>
  <c r="J25" i="1"/>
  <c r="I50" i="1"/>
  <c r="I49" i="1"/>
  <c r="I41" i="1"/>
  <c r="I42" i="1"/>
  <c r="I43" i="1"/>
  <c r="I44" i="1"/>
  <c r="I45" i="1"/>
  <c r="I46" i="1"/>
  <c r="I40" i="1"/>
  <c r="I31" i="1"/>
  <c r="I32" i="1"/>
  <c r="I33" i="1"/>
  <c r="I34" i="1"/>
  <c r="I35" i="1"/>
  <c r="I36" i="1"/>
  <c r="I37" i="1"/>
  <c r="I38" i="1"/>
  <c r="I30" i="1"/>
  <c r="I12" i="1"/>
  <c r="I11" i="1"/>
  <c r="I10" i="1"/>
  <c r="I9" i="1"/>
  <c r="I8" i="1"/>
  <c r="I7" i="1"/>
  <c r="I6" i="1"/>
  <c r="I5" i="1"/>
  <c r="I4" i="1"/>
  <c r="I25" i="1"/>
  <c r="H31" i="1"/>
  <c r="H32" i="1"/>
  <c r="H33" i="1"/>
  <c r="H34" i="1"/>
  <c r="H35" i="1"/>
  <c r="H36" i="1"/>
  <c r="H37" i="1"/>
  <c r="H38" i="1"/>
  <c r="H30" i="1"/>
  <c r="H12" i="1"/>
  <c r="H11" i="1"/>
  <c r="H10" i="1"/>
  <c r="H9" i="1"/>
  <c r="H8" i="1"/>
  <c r="H7" i="1"/>
  <c r="H6" i="1"/>
  <c r="H5" i="1"/>
  <c r="H4" i="1"/>
  <c r="H50" i="1"/>
  <c r="H49" i="1"/>
  <c r="H41" i="1"/>
  <c r="H42" i="1"/>
  <c r="H43" i="1"/>
  <c r="H44" i="1"/>
  <c r="H45" i="1"/>
  <c r="H46" i="1"/>
  <c r="H40" i="1"/>
  <c r="H25" i="1"/>
  <c r="G31" i="1"/>
  <c r="G32" i="1"/>
  <c r="G33" i="1"/>
  <c r="G34" i="1"/>
  <c r="G35" i="1"/>
  <c r="G36" i="1"/>
  <c r="G37" i="1"/>
  <c r="G38" i="1"/>
  <c r="G30" i="1"/>
  <c r="G12" i="1"/>
  <c r="G11" i="1"/>
  <c r="G10" i="1"/>
  <c r="G9" i="1"/>
  <c r="G8" i="1"/>
  <c r="G7" i="1"/>
  <c r="G6" i="1"/>
  <c r="G5" i="1"/>
  <c r="G4" i="1"/>
  <c r="G50" i="1"/>
  <c r="G49" i="1"/>
  <c r="G41" i="1"/>
  <c r="G42" i="1"/>
  <c r="G43" i="1"/>
  <c r="G44" i="1"/>
  <c r="G45" i="1"/>
  <c r="G46" i="1"/>
  <c r="G40" i="1"/>
  <c r="G25" i="1"/>
  <c r="F50" i="1"/>
  <c r="F49" i="1"/>
  <c r="E50" i="1"/>
  <c r="E49" i="1"/>
  <c r="D50" i="1"/>
  <c r="D49" i="1"/>
  <c r="F41" i="1"/>
  <c r="F42" i="1"/>
  <c r="F43" i="1"/>
  <c r="F44" i="1"/>
  <c r="F45" i="1"/>
  <c r="F46" i="1"/>
  <c r="F40" i="1"/>
  <c r="E41" i="1"/>
  <c r="E42" i="1"/>
  <c r="E43" i="1"/>
  <c r="E44" i="1"/>
  <c r="E45" i="1"/>
  <c r="E46" i="1"/>
  <c r="E40" i="1"/>
  <c r="D41" i="1"/>
  <c r="D42" i="1"/>
  <c r="D43" i="1"/>
  <c r="D44" i="1"/>
  <c r="D45" i="1"/>
  <c r="D46" i="1"/>
  <c r="D40" i="1"/>
  <c r="F11" i="1"/>
  <c r="F10" i="1"/>
  <c r="F9" i="1"/>
  <c r="F8" i="1"/>
  <c r="F7" i="1"/>
  <c r="F6" i="1"/>
  <c r="F5" i="1"/>
  <c r="F4" i="1"/>
  <c r="F12" i="1" s="1"/>
  <c r="F25" i="1"/>
  <c r="L35" i="1" l="1"/>
  <c r="L57" i="1"/>
  <c r="E25" i="1"/>
  <c r="E11" i="1"/>
  <c r="E10" i="1"/>
  <c r="E9" i="1"/>
  <c r="E8" i="1"/>
  <c r="E7" i="1"/>
  <c r="E6" i="1"/>
  <c r="E5" i="1"/>
  <c r="E4" i="1"/>
  <c r="D11" i="1"/>
  <c r="D10" i="1"/>
  <c r="D9" i="1"/>
  <c r="D8" i="1"/>
  <c r="D7" i="1"/>
  <c r="D6" i="1"/>
  <c r="D5" i="1"/>
  <c r="D4" i="1"/>
  <c r="D25" i="1"/>
  <c r="C11" i="1"/>
  <c r="F37" i="1" s="1"/>
  <c r="C10" i="1"/>
  <c r="F36" i="1" s="1"/>
  <c r="C9" i="1"/>
  <c r="F35" i="1" s="1"/>
  <c r="C8" i="1"/>
  <c r="F34" i="1" s="1"/>
  <c r="C7" i="1"/>
  <c r="F33" i="1" s="1"/>
  <c r="C6" i="1"/>
  <c r="F32" i="1" s="1"/>
  <c r="C5" i="1"/>
  <c r="F31" i="1" s="1"/>
  <c r="C4" i="1"/>
  <c r="F30" i="1" s="1"/>
  <c r="C25" i="1"/>
  <c r="F51" i="1" l="1"/>
  <c r="J51" i="1"/>
  <c r="H51" i="1"/>
  <c r="G51" i="1"/>
  <c r="I51" i="1"/>
  <c r="K51" i="1"/>
  <c r="E37" i="1"/>
  <c r="E51" i="1"/>
  <c r="D51" i="1"/>
  <c r="D37" i="1"/>
  <c r="E32" i="1"/>
  <c r="E30" i="1"/>
  <c r="D31" i="1"/>
  <c r="D30" i="1"/>
  <c r="D33" i="1"/>
  <c r="E31" i="1"/>
  <c r="D32" i="1"/>
  <c r="E33" i="1"/>
  <c r="D34" i="1"/>
  <c r="E34" i="1"/>
  <c r="D35" i="1"/>
  <c r="E35" i="1"/>
  <c r="D36" i="1"/>
  <c r="E36" i="1"/>
  <c r="E12" i="1"/>
  <c r="D12" i="1"/>
  <c r="C12" i="1"/>
  <c r="F38" i="1" s="1"/>
  <c r="D38" i="1" l="1"/>
  <c r="E38" i="1"/>
</calcChain>
</file>

<file path=xl/sharedStrings.xml><?xml version="1.0" encoding="utf-8"?>
<sst xmlns="http://schemas.openxmlformats.org/spreadsheetml/2006/main" count="100" uniqueCount="46">
  <si>
    <t>Unoptimized Solution</t>
  </si>
  <si>
    <t>Loop Fission Solution</t>
  </si>
  <si>
    <t>Code Hoisting Solution</t>
  </si>
  <si>
    <t>Utilization Analysis</t>
  </si>
  <si>
    <t>WNS [ns]</t>
  </si>
  <si>
    <t>Clock Constraint [ns]</t>
  </si>
  <si>
    <t>LUT [#]</t>
  </si>
  <si>
    <t>LUTRAM [#]</t>
  </si>
  <si>
    <t>FF [#]</t>
  </si>
  <si>
    <t>DSP [#]</t>
  </si>
  <si>
    <t>IO [#]</t>
  </si>
  <si>
    <t>BUFG [#]</t>
  </si>
  <si>
    <t>Clock Enable [mW]</t>
  </si>
  <si>
    <t>Clocks [mW]</t>
  </si>
  <si>
    <t>DSP [mW]</t>
  </si>
  <si>
    <t>Hierarchical [mW]</t>
  </si>
  <si>
    <t>I/O [mW]</t>
  </si>
  <si>
    <t>Logic [mW]</t>
  </si>
  <si>
    <t>Set/Reset [mW]</t>
  </si>
  <si>
    <t>Data [mW]</t>
  </si>
  <si>
    <t>Maximum Clock Frequency [MHz]</t>
  </si>
  <si>
    <t>Total [mW]</t>
  </si>
  <si>
    <t>Dynamic Power Analysis</t>
  </si>
  <si>
    <t>Timing and Frequency Analysis</t>
  </si>
  <si>
    <t>ABSOLUTE ERROR</t>
  </si>
  <si>
    <t>VALUES</t>
  </si>
  <si>
    <t>BRAM [#]</t>
  </si>
  <si>
    <t>Loop Unrolling Solution Factor=2</t>
  </si>
  <si>
    <t>Loop Unrolling Solution Factor=4</t>
  </si>
  <si>
    <t>BRAM[#]</t>
  </si>
  <si>
    <t>Operation Chaining Solution CLK=10ns</t>
  </si>
  <si>
    <t>Operation Chaining Solution CLK=9ns</t>
  </si>
  <si>
    <t>Operation Chaining Solution CLK=8ns</t>
  </si>
  <si>
    <t>Operation Chaining Solution CLK=7ns</t>
  </si>
  <si>
    <t>Cycles [#]</t>
  </si>
  <si>
    <t>Operation Chaining Solution CLK=6ns</t>
  </si>
  <si>
    <t>Clock Enable [%]</t>
  </si>
  <si>
    <t>Clocks [%]</t>
  </si>
  <si>
    <t>DSP [%]</t>
  </si>
  <si>
    <t>Hierarchical [%]</t>
  </si>
  <si>
    <t>I/O [%]</t>
  </si>
  <si>
    <t>Logic [%]</t>
  </si>
  <si>
    <t>Set/Reset [%]</t>
  </si>
  <si>
    <t>Data [%]</t>
  </si>
  <si>
    <t>Total [%]</t>
  </si>
  <si>
    <t>PERCENTAGE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</si>
</sst>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Power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Data!$B$4</c:f>
              <c:strCache>
                <c:ptCount val="1"/>
                <c:pt idx="0">
                  <c:v>Clock Enable [mW]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Data!$C$2:$L$2</c:f>
              <c:strCache>
                <c:ptCount val="10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</c:strCache>
            </c:strRef>
          </c:cat>
          <c:val>
            <c:numRef>
              <c:f>Data!$C$4:$L$4</c:f>
              <c:numCache>
                <c:formatCode>General</c:formatCode>
                <c:ptCount val="10"/>
                <c:pt idx="0">
                  <c:v>0.45422746916301499</c:v>
                </c:pt>
                <c:pt idx="1">
                  <c:v>0.37048768717795599</c:v>
                </c:pt>
                <c:pt idx="2">
                  <c:v>0.292603217530996</c:v>
                </c:pt>
                <c:pt idx="3">
                  <c:v>0.13704053708352099</c:v>
                </c:pt>
                <c:pt idx="4">
                  <c:v>0.29394408920779802</c:v>
                </c:pt>
                <c:pt idx="5">
                  <c:v>0.45503594446927298</c:v>
                </c:pt>
                <c:pt idx="6">
                  <c:v>0.370885303709656</c:v>
                </c:pt>
                <c:pt idx="7">
                  <c:v>0.43246525456197599</c:v>
                </c:pt>
                <c:pt idx="8">
                  <c:v>0.74117712210863795</c:v>
                </c:pt>
                <c:pt idx="9">
                  <c:v>0.65137079218402505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2-429A-B9F7-CB06BAC637E4}"/>
            </c:ext>
          </c:extLst>
        </c:ser>
        <c:ser>
          <c:idx val="1"/>
          <c:order val="1"/>
          <c:tx>
            <c:strRef>
              <c:f>Data!$B$5</c:f>
              <c:strCache>
                <c:ptCount val="1"/>
                <c:pt idx="0">
                  <c:v>Clocks [mW]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Data!$C$2:$L$2</c:f>
              <c:strCache>
                <c:ptCount val="10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</c:strCache>
            </c:strRef>
          </c:cat>
          <c:val>
            <c:numRef>
              <c:f>Data!$C$5:$L$5</c:f>
              <c:numCache>
                <c:formatCode>General</c:formatCode>
                <c:ptCount val="10"/>
                <c:pt idx="0">
                  <c:v>1.2154849246144299</c:v>
                </c:pt>
                <c:pt idx="1">
                  <c:v>1.7567886970937299</c:v>
                </c:pt>
                <c:pt idx="2">
                  <c:v>1.09893758781254</c:v>
                </c:pt>
                <c:pt idx="3">
                  <c:v>0.18466742767486699</c:v>
                </c:pt>
                <c:pt idx="4">
                  <c:v>0.38908739225007599</c:v>
                </c:pt>
                <c:pt idx="5">
                  <c:v>1.2157068122178301</c:v>
                </c:pt>
                <c:pt idx="6">
                  <c:v>1.60096236504614</c:v>
                </c:pt>
                <c:pt idx="7">
                  <c:v>1.7903209663927602</c:v>
                </c:pt>
                <c:pt idx="8">
                  <c:v>0.79376308713108301</c:v>
                </c:pt>
                <c:pt idx="9">
                  <c:v>0.88516663527116202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42-429A-B9F7-CB06BAC637E4}"/>
            </c:ext>
          </c:extLst>
        </c:ser>
        <c:ser>
          <c:idx val="2"/>
          <c:order val="2"/>
          <c:tx>
            <c:strRef>
              <c:f>Data!$B$6</c:f>
              <c:strCache>
                <c:ptCount val="1"/>
                <c:pt idx="0">
                  <c:v>DSP [mW]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Data!$C$2:$L$2</c:f>
              <c:strCache>
                <c:ptCount val="10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</c:strCache>
            </c:strRef>
          </c:cat>
          <c:val>
            <c:numRef>
              <c:f>Data!$C$6:$L$6</c:f>
              <c:numCache>
                <c:formatCode>General</c:formatCode>
                <c:ptCount val="10"/>
                <c:pt idx="0">
                  <c:v>0.33501180587336399</c:v>
                </c:pt>
                <c:pt idx="1">
                  <c:v>0.41467678966000698</c:v>
                </c:pt>
                <c:pt idx="2">
                  <c:v>0.32119487877935199</c:v>
                </c:pt>
                <c:pt idx="3">
                  <c:v>1.1144292075187001</c:v>
                </c:pt>
                <c:pt idx="4">
                  <c:v>0.71984034730121504</c:v>
                </c:pt>
                <c:pt idx="5">
                  <c:v>0.34357042750343703</c:v>
                </c:pt>
                <c:pt idx="6">
                  <c:v>0.30379532836377598</c:v>
                </c:pt>
                <c:pt idx="7">
                  <c:v>0.36362622631713698</c:v>
                </c:pt>
                <c:pt idx="8">
                  <c:v>1.62343855481595</c:v>
                </c:pt>
                <c:pt idx="9">
                  <c:v>1.5489605721086301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42-429A-B9F7-CB06BAC637E4}"/>
            </c:ext>
          </c:extLst>
        </c:ser>
        <c:ser>
          <c:idx val="3"/>
          <c:order val="3"/>
          <c:tx>
            <c:strRef>
              <c:f>Data!$B$7</c:f>
              <c:strCache>
                <c:ptCount val="1"/>
                <c:pt idx="0">
                  <c:v>Hierarchical [mW]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Data!$C$2:$L$2</c:f>
              <c:strCache>
                <c:ptCount val="10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</c:strCache>
            </c:strRef>
          </c:cat>
          <c:val>
            <c:numRef>
              <c:f>Data!$C$7:$L$7</c:f>
              <c:numCache>
                <c:formatCode>General</c:formatCode>
                <c:ptCount val="10"/>
                <c:pt idx="0">
                  <c:v>7.5007653795182696</c:v>
                </c:pt>
                <c:pt idx="1">
                  <c:v>11.036928743123999</c:v>
                </c:pt>
                <c:pt idx="2">
                  <c:v>5.7030776515603101</c:v>
                </c:pt>
                <c:pt idx="3">
                  <c:v>11.542666703462601</c:v>
                </c:pt>
                <c:pt idx="4">
                  <c:v>17.101872712373698</c:v>
                </c:pt>
                <c:pt idx="5">
                  <c:v>7.5166169553995097</c:v>
                </c:pt>
                <c:pt idx="6">
                  <c:v>7.2078881785273605</c:v>
                </c:pt>
                <c:pt idx="7">
                  <c:v>8.4898751229047793</c:v>
                </c:pt>
                <c:pt idx="8">
                  <c:v>8.7511138990521395</c:v>
                </c:pt>
                <c:pt idx="9">
                  <c:v>7.6457625254988697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42-429A-B9F7-CB06BAC637E4}"/>
            </c:ext>
          </c:extLst>
        </c:ser>
        <c:ser>
          <c:idx val="4"/>
          <c:order val="4"/>
          <c:tx>
            <c:strRef>
              <c:f>Data!$B$8</c:f>
              <c:strCache>
                <c:ptCount val="1"/>
                <c:pt idx="0">
                  <c:v>I/O [mW]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Data!$C$2:$L$2</c:f>
              <c:strCache>
                <c:ptCount val="10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</c:strCache>
            </c:strRef>
          </c:cat>
          <c:val>
            <c:numRef>
              <c:f>Data!$C$8:$L$8</c:f>
              <c:numCache>
                <c:formatCode>General</c:formatCode>
                <c:ptCount val="10"/>
                <c:pt idx="0">
                  <c:v>3.56393656693399</c:v>
                </c:pt>
                <c:pt idx="1">
                  <c:v>6.2713813968002796</c:v>
                </c:pt>
                <c:pt idx="2">
                  <c:v>2.45818751864135</c:v>
                </c:pt>
                <c:pt idx="3">
                  <c:v>6.9033727049827602</c:v>
                </c:pt>
                <c:pt idx="4">
                  <c:v>10.6569966301322</c:v>
                </c:pt>
                <c:pt idx="5">
                  <c:v>3.5588422324508397</c:v>
                </c:pt>
                <c:pt idx="6">
                  <c:v>3.2089862506836702</c:v>
                </c:pt>
                <c:pt idx="7">
                  <c:v>3.7935171276330899</c:v>
                </c:pt>
                <c:pt idx="8">
                  <c:v>3.7526413798332201</c:v>
                </c:pt>
                <c:pt idx="9">
                  <c:v>3.10287787579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42-429A-B9F7-CB06BAC637E4}"/>
            </c:ext>
          </c:extLst>
        </c:ser>
        <c:ser>
          <c:idx val="5"/>
          <c:order val="5"/>
          <c:tx>
            <c:strRef>
              <c:f>Data!$B$9</c:f>
              <c:strCache>
                <c:ptCount val="1"/>
                <c:pt idx="0">
                  <c:v>Logic [mW]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Data!$C$2:$L$2</c:f>
              <c:strCache>
                <c:ptCount val="10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</c:strCache>
            </c:strRef>
          </c:cat>
          <c:val>
            <c:numRef>
              <c:f>Data!$C$9:$L$9</c:f>
              <c:numCache>
                <c:formatCode>General</c:formatCode>
                <c:ptCount val="10"/>
                <c:pt idx="0">
                  <c:v>0.92148053226992499</c:v>
                </c:pt>
                <c:pt idx="1">
                  <c:v>0.838255044072866</c:v>
                </c:pt>
                <c:pt idx="2">
                  <c:v>0.59028825489804104</c:v>
                </c:pt>
                <c:pt idx="3">
                  <c:v>0.444400648120791</c:v>
                </c:pt>
                <c:pt idx="4">
                  <c:v>1.17661547847092</c:v>
                </c:pt>
                <c:pt idx="5">
                  <c:v>0.92546828091144606</c:v>
                </c:pt>
                <c:pt idx="6">
                  <c:v>0.868793693371117</c:v>
                </c:pt>
                <c:pt idx="7">
                  <c:v>1.02812109980732</c:v>
                </c:pt>
                <c:pt idx="8">
                  <c:v>1.0441305348649599</c:v>
                </c:pt>
                <c:pt idx="9">
                  <c:v>0.75803906656801701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42-429A-B9F7-CB06BAC637E4}"/>
            </c:ext>
          </c:extLst>
        </c:ser>
        <c:ser>
          <c:idx val="6"/>
          <c:order val="6"/>
          <c:tx>
            <c:strRef>
              <c:f>Data!$B$10</c:f>
              <c:strCache>
                <c:ptCount val="1"/>
                <c:pt idx="0">
                  <c:v>Set/Reset [mW]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Data!$C$2:$L$2</c:f>
              <c:strCache>
                <c:ptCount val="10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</c:strCache>
            </c:strRef>
          </c:cat>
          <c:val>
            <c:numRef>
              <c:f>Data!$C$10:$L$10</c:f>
              <c:numCache>
                <c:formatCode>0.00E+00</c:formatCode>
                <c:ptCount val="10"/>
                <c:pt idx="0">
                  <c:v>3.56509622179146E-3</c:v>
                </c:pt>
                <c:pt idx="1">
                  <c:v>3.3474038900749301E-3</c:v>
                </c:pt>
                <c:pt idx="2" formatCode="General">
                  <c:v>4.1604484977142402E-3</c:v>
                </c:pt>
                <c:pt idx="3" formatCode="General">
                  <c:v>8.3271625044289994E-3</c:v>
                </c:pt>
                <c:pt idx="4" formatCode="General">
                  <c:v>1.1189625183760699E-2</c:v>
                </c:pt>
                <c:pt idx="5" formatCode="General">
                  <c:v>3.4978299936483399E-3</c:v>
                </c:pt>
                <c:pt idx="6" formatCode="General">
                  <c:v>3.5650859899760698E-3</c:v>
                </c:pt>
                <c:pt idx="7" formatCode="General">
                  <c:v>3.3865094337670598E-3</c:v>
                </c:pt>
                <c:pt idx="8" formatCode="General">
                  <c:v>6.8435433604463504E-3</c:v>
                </c:pt>
                <c:pt idx="9" formatCode="General">
                  <c:v>5.9745220823970201E-3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42-429A-B9F7-CB06BAC637E4}"/>
            </c:ext>
          </c:extLst>
        </c:ser>
        <c:ser>
          <c:idx val="7"/>
          <c:order val="7"/>
          <c:tx>
            <c:strRef>
              <c:f>Data!$B$11</c:f>
              <c:strCache>
                <c:ptCount val="1"/>
                <c:pt idx="0">
                  <c:v>Data [mW]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Data!$C$2:$L$2</c:f>
              <c:strCache>
                <c:ptCount val="10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</c:strCache>
            </c:strRef>
          </c:cat>
          <c:val>
            <c:numRef>
              <c:f>Data!$C$11:$L$11</c:f>
              <c:numCache>
                <c:formatCode>General</c:formatCode>
                <c:ptCount val="10"/>
                <c:pt idx="0">
                  <c:v>1.00705958902836</c:v>
                </c:pt>
                <c:pt idx="1">
                  <c:v>1.3819906162098099</c:v>
                </c:pt>
                <c:pt idx="2">
                  <c:v>0.93770562671124902</c:v>
                </c:pt>
                <c:pt idx="3">
                  <c:v>0.643483945168555</c:v>
                </c:pt>
                <c:pt idx="4">
                  <c:v>1.23055081348866</c:v>
                </c:pt>
                <c:pt idx="5">
                  <c:v>1.0144955012947299</c:v>
                </c:pt>
                <c:pt idx="6">
                  <c:v>0.85090019274503004</c:v>
                </c:pt>
                <c:pt idx="7">
                  <c:v>1.07843766454607</c:v>
                </c:pt>
                <c:pt idx="8">
                  <c:v>0.78912044409662496</c:v>
                </c:pt>
                <c:pt idx="9">
                  <c:v>0.69337280001491297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42-429A-B9F7-CB06BAC637E4}"/>
            </c:ext>
          </c:extLst>
        </c:ser>
        <c:ser>
          <c:idx val="8"/>
          <c:order val="8"/>
          <c:tx>
            <c:strRef>
              <c:f>Data!$B$12</c:f>
              <c:strCache>
                <c:ptCount val="1"/>
                <c:pt idx="0">
                  <c:v>Total [mW]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Data!$C$2:$L$2</c:f>
              <c:strCache>
                <c:ptCount val="10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</c:strCache>
            </c:strRef>
          </c:cat>
          <c:val>
            <c:numRef>
              <c:f>Data!$C$12:$L$12</c:f>
              <c:numCache>
                <c:formatCode>General</c:formatCode>
                <c:ptCount val="10"/>
                <c:pt idx="0">
                  <c:v>15.001531363623146</c:v>
                </c:pt>
                <c:pt idx="1">
                  <c:v>22.073856378028722</c:v>
                </c:pt>
                <c:pt idx="2">
                  <c:v>11.406155184431555</c:v>
                </c:pt>
                <c:pt idx="3">
                  <c:v>20.978388336516225</c:v>
                </c:pt>
                <c:pt idx="4">
                  <c:v>31.580097088408326</c:v>
                </c:pt>
                <c:pt idx="5">
                  <c:v>15.033233984240713</c:v>
                </c:pt>
                <c:pt idx="6">
                  <c:v>14.415776398436726</c:v>
                </c:pt>
                <c:pt idx="7">
                  <c:v>16.979749971596899</c:v>
                </c:pt>
                <c:pt idx="8">
                  <c:v>17.50222856526306</c:v>
                </c:pt>
                <c:pt idx="9">
                  <c:v>15.291524789518014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42-429A-B9F7-CB06BAC63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360288"/>
        <c:axId val="870359808"/>
      </c:lineChart>
      <c:catAx>
        <c:axId val="87036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359808"/>
        <c:crosses val="autoZero"/>
        <c:auto val="1"/>
        <c:lblAlgn val="ctr"/>
        <c:lblOffset val="100"/>
        <c:noMultiLvlLbl val="0"/>
      </c:catAx>
      <c:valAx>
        <c:axId val="870359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36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Dynamic Power Analysis (Absolute Error)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Data!$C$30</c:f>
              <c:strCache>
                <c:ptCount val="1"/>
                <c:pt idx="0">
                  <c:v>Clock Enable [mW]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Data!$D$28:$L$28</c:f>
              <c:strCache>
                <c:ptCount val="9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</c:strCache>
            </c:strRef>
          </c:cat>
          <c:val>
            <c:numRef>
              <c:f>Data!$D$30:$L$30</c:f>
              <c:numCache>
                <c:formatCode>General</c:formatCode>
                <c:ptCount val="9"/>
                <c:pt idx="0">
                  <c:v>-8.3739781985058992E-2</c:v>
                </c:pt>
                <c:pt idx="1">
                  <c:v>-0.16162425163201899</c:v>
                </c:pt>
                <c:pt idx="2">
                  <c:v>-0.317186932079494</c:v>
                </c:pt>
                <c:pt idx="3">
                  <c:v>-0.16028337995521696</c:v>
                </c:pt>
                <c:pt idx="4">
                  <c:v>8.0847530625799413E-4</c:v>
                </c:pt>
                <c:pt idx="5">
                  <c:v>-8.3342165453358985E-2</c:v>
                </c:pt>
                <c:pt idx="6">
                  <c:v>-2.1762214601038998E-2</c:v>
                </c:pt>
                <c:pt idx="7">
                  <c:v>0.28694965294562297</c:v>
                </c:pt>
                <c:pt idx="8">
                  <c:v>0.19714332302101006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1-4A9E-AC6F-534ADBE5033F}"/>
            </c:ext>
          </c:extLst>
        </c:ser>
        <c:ser>
          <c:idx val="1"/>
          <c:order val="1"/>
          <c:tx>
            <c:strRef>
              <c:f>Data!$C$31</c:f>
              <c:strCache>
                <c:ptCount val="1"/>
                <c:pt idx="0">
                  <c:v>Clocks [mW]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Data!$D$28:$L$28</c:f>
              <c:strCache>
                <c:ptCount val="9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</c:strCache>
            </c:strRef>
          </c:cat>
          <c:val>
            <c:numRef>
              <c:f>Data!$D$31:$L$31</c:f>
              <c:numCache>
                <c:formatCode>General</c:formatCode>
                <c:ptCount val="9"/>
                <c:pt idx="0">
                  <c:v>0.54130377247929995</c:v>
                </c:pt>
                <c:pt idx="1">
                  <c:v>-0.11654733680188989</c:v>
                </c:pt>
                <c:pt idx="2">
                  <c:v>-1.0308174969395629</c:v>
                </c:pt>
                <c:pt idx="3">
                  <c:v>-0.82639753236435398</c:v>
                </c:pt>
                <c:pt idx="4">
                  <c:v>2.2188760340013935E-4</c:v>
                </c:pt>
                <c:pt idx="5">
                  <c:v>0.38547744043171006</c:v>
                </c:pt>
                <c:pt idx="6">
                  <c:v>0.57483604177833025</c:v>
                </c:pt>
                <c:pt idx="7">
                  <c:v>-0.42172183748334691</c:v>
                </c:pt>
                <c:pt idx="8">
                  <c:v>-0.3303182893432679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51-4A9E-AC6F-534ADBE5033F}"/>
            </c:ext>
          </c:extLst>
        </c:ser>
        <c:ser>
          <c:idx val="2"/>
          <c:order val="2"/>
          <c:tx>
            <c:strRef>
              <c:f>Data!$C$32</c:f>
              <c:strCache>
                <c:ptCount val="1"/>
                <c:pt idx="0">
                  <c:v>DSP [mW]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Data!$D$28:$L$28</c:f>
              <c:strCache>
                <c:ptCount val="9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</c:strCache>
            </c:strRef>
          </c:cat>
          <c:val>
            <c:numRef>
              <c:f>Data!$D$32:$L$32</c:f>
              <c:numCache>
                <c:formatCode>General</c:formatCode>
                <c:ptCount val="9"/>
                <c:pt idx="0">
                  <c:v>7.9664983786642996E-2</c:v>
                </c:pt>
                <c:pt idx="1">
                  <c:v>-1.3816927094011999E-2</c:v>
                </c:pt>
                <c:pt idx="2">
                  <c:v>0.77941740164533613</c:v>
                </c:pt>
                <c:pt idx="3">
                  <c:v>0.38482854142785106</c:v>
                </c:pt>
                <c:pt idx="4">
                  <c:v>8.5586216300730378E-3</c:v>
                </c:pt>
                <c:pt idx="5">
                  <c:v>-3.1216477509588003E-2</c:v>
                </c:pt>
                <c:pt idx="6">
                  <c:v>2.8614420443772992E-2</c:v>
                </c:pt>
                <c:pt idx="7">
                  <c:v>1.288426748942586</c:v>
                </c:pt>
                <c:pt idx="8">
                  <c:v>1.2139487662352662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51-4A9E-AC6F-534ADBE5033F}"/>
            </c:ext>
          </c:extLst>
        </c:ser>
        <c:ser>
          <c:idx val="3"/>
          <c:order val="3"/>
          <c:tx>
            <c:strRef>
              <c:f>Data!$C$33</c:f>
              <c:strCache>
                <c:ptCount val="1"/>
                <c:pt idx="0">
                  <c:v>Hierarchical [mW]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Data!$D$28:$L$28</c:f>
              <c:strCache>
                <c:ptCount val="9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</c:strCache>
            </c:strRef>
          </c:cat>
          <c:val>
            <c:numRef>
              <c:f>Data!$D$33:$L$33</c:f>
              <c:numCache>
                <c:formatCode>General</c:formatCode>
                <c:ptCount val="9"/>
                <c:pt idx="0">
                  <c:v>3.5361633636057297</c:v>
                </c:pt>
                <c:pt idx="1">
                  <c:v>-1.7976877279579595</c:v>
                </c:pt>
                <c:pt idx="2">
                  <c:v>4.0419013239443311</c:v>
                </c:pt>
                <c:pt idx="3">
                  <c:v>9.6011073328554275</c:v>
                </c:pt>
                <c:pt idx="4">
                  <c:v>1.5851575881240088E-2</c:v>
                </c:pt>
                <c:pt idx="5">
                  <c:v>-0.29287720099090908</c:v>
                </c:pt>
                <c:pt idx="6">
                  <c:v>0.9891097433865097</c:v>
                </c:pt>
                <c:pt idx="7">
                  <c:v>1.2503485195338699</c:v>
                </c:pt>
                <c:pt idx="8">
                  <c:v>0.1449971459806001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51-4A9E-AC6F-534ADBE5033F}"/>
            </c:ext>
          </c:extLst>
        </c:ser>
        <c:ser>
          <c:idx val="4"/>
          <c:order val="4"/>
          <c:tx>
            <c:strRef>
              <c:f>Data!$C$34</c:f>
              <c:strCache>
                <c:ptCount val="1"/>
                <c:pt idx="0">
                  <c:v>I/O [mW]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Data!$D$28:$L$28</c:f>
              <c:strCache>
                <c:ptCount val="9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</c:strCache>
            </c:strRef>
          </c:cat>
          <c:val>
            <c:numRef>
              <c:f>Data!$D$34:$L$34</c:f>
              <c:numCache>
                <c:formatCode>General</c:formatCode>
                <c:ptCount val="9"/>
                <c:pt idx="0">
                  <c:v>2.7074448298662896</c:v>
                </c:pt>
                <c:pt idx="1">
                  <c:v>-1.10574904829264</c:v>
                </c:pt>
                <c:pt idx="2">
                  <c:v>3.3394361380487703</c:v>
                </c:pt>
                <c:pt idx="3">
                  <c:v>7.0930600631982106</c:v>
                </c:pt>
                <c:pt idx="4">
                  <c:v>-5.0943344831502202E-3</c:v>
                </c:pt>
                <c:pt idx="5">
                  <c:v>-0.35495031625031981</c:v>
                </c:pt>
                <c:pt idx="6">
                  <c:v>0.22958056069909993</c:v>
                </c:pt>
                <c:pt idx="7">
                  <c:v>0.18870481289923013</c:v>
                </c:pt>
                <c:pt idx="8">
                  <c:v>-0.46105869114399001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51-4A9E-AC6F-534ADBE5033F}"/>
            </c:ext>
          </c:extLst>
        </c:ser>
        <c:ser>
          <c:idx val="5"/>
          <c:order val="5"/>
          <c:tx>
            <c:strRef>
              <c:f>Data!$C$35</c:f>
              <c:strCache>
                <c:ptCount val="1"/>
                <c:pt idx="0">
                  <c:v>Logic [mW]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Data!$D$28:$L$28</c:f>
              <c:strCache>
                <c:ptCount val="9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</c:strCache>
            </c:strRef>
          </c:cat>
          <c:val>
            <c:numRef>
              <c:f>Data!$D$35:$L$35</c:f>
              <c:numCache>
                <c:formatCode>General</c:formatCode>
                <c:ptCount val="9"/>
                <c:pt idx="0">
                  <c:v>-8.3225488197058994E-2</c:v>
                </c:pt>
                <c:pt idx="1">
                  <c:v>-0.33119227737188395</c:v>
                </c:pt>
                <c:pt idx="2">
                  <c:v>-0.47707988414913399</c:v>
                </c:pt>
                <c:pt idx="3">
                  <c:v>0.25513494620099497</c:v>
                </c:pt>
                <c:pt idx="4">
                  <c:v>3.9877486415210717E-3</c:v>
                </c:pt>
                <c:pt idx="5">
                  <c:v>-5.2686838898807986E-2</c:v>
                </c:pt>
                <c:pt idx="6">
                  <c:v>0.10664056753739504</c:v>
                </c:pt>
                <c:pt idx="7">
                  <c:v>0.12265000259503489</c:v>
                </c:pt>
                <c:pt idx="8">
                  <c:v>-0.16344146570190798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51-4A9E-AC6F-534ADBE5033F}"/>
            </c:ext>
          </c:extLst>
        </c:ser>
        <c:ser>
          <c:idx val="6"/>
          <c:order val="6"/>
          <c:tx>
            <c:strRef>
              <c:f>Data!$C$36</c:f>
              <c:strCache>
                <c:ptCount val="1"/>
                <c:pt idx="0">
                  <c:v>Set/Reset [mW]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Data!$D$28:$L$28</c:f>
              <c:strCache>
                <c:ptCount val="9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</c:strCache>
            </c:strRef>
          </c:cat>
          <c:val>
            <c:numRef>
              <c:f>Data!$D$36:$L$36</c:f>
              <c:numCache>
                <c:formatCode>General</c:formatCode>
                <c:ptCount val="9"/>
                <c:pt idx="0">
                  <c:v>-2.1769233171652991E-4</c:v>
                </c:pt>
                <c:pt idx="1">
                  <c:v>5.9535227592278023E-4</c:v>
                </c:pt>
                <c:pt idx="2">
                  <c:v>4.7620662826375389E-3</c:v>
                </c:pt>
                <c:pt idx="3">
                  <c:v>7.6245289619692388E-3</c:v>
                </c:pt>
                <c:pt idx="4">
                  <c:v>-6.7266228143120135E-5</c:v>
                </c:pt>
                <c:pt idx="5">
                  <c:v>-1.0231815390174953E-8</c:v>
                </c:pt>
                <c:pt idx="6">
                  <c:v>-1.7858678802440018E-4</c:v>
                </c:pt>
                <c:pt idx="7">
                  <c:v>3.2784471386548904E-3</c:v>
                </c:pt>
                <c:pt idx="8">
                  <c:v>2.4094258606055601E-3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51-4A9E-AC6F-534ADBE5033F}"/>
            </c:ext>
          </c:extLst>
        </c:ser>
        <c:ser>
          <c:idx val="7"/>
          <c:order val="7"/>
          <c:tx>
            <c:strRef>
              <c:f>Data!$C$37</c:f>
              <c:strCache>
                <c:ptCount val="1"/>
                <c:pt idx="0">
                  <c:v>Data [mW]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Data!$D$28:$L$28</c:f>
              <c:strCache>
                <c:ptCount val="9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</c:strCache>
            </c:strRef>
          </c:cat>
          <c:val>
            <c:numRef>
              <c:f>Data!$D$37:$L$37</c:f>
              <c:numCache>
                <c:formatCode>General</c:formatCode>
                <c:ptCount val="9"/>
                <c:pt idx="0">
                  <c:v>0.37493102718144988</c:v>
                </c:pt>
                <c:pt idx="1">
                  <c:v>-6.9353962317110995E-2</c:v>
                </c:pt>
                <c:pt idx="2">
                  <c:v>-0.36357564385980501</c:v>
                </c:pt>
                <c:pt idx="3">
                  <c:v>0.22349122446030001</c:v>
                </c:pt>
                <c:pt idx="4">
                  <c:v>7.4359122663698596E-3</c:v>
                </c:pt>
                <c:pt idx="5">
                  <c:v>-0.15615939628332998</c:v>
                </c:pt>
                <c:pt idx="6">
                  <c:v>7.1378075517710027E-2</c:v>
                </c:pt>
                <c:pt idx="7">
                  <c:v>-0.21793914493173505</c:v>
                </c:pt>
                <c:pt idx="8">
                  <c:v>-0.31368678901344704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51-4A9E-AC6F-534ADBE5033F}"/>
            </c:ext>
          </c:extLst>
        </c:ser>
        <c:ser>
          <c:idx val="8"/>
          <c:order val="8"/>
          <c:tx>
            <c:strRef>
              <c:f>Data!$C$38</c:f>
              <c:strCache>
                <c:ptCount val="1"/>
                <c:pt idx="0">
                  <c:v>Total [mW]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Data!$D$28:$L$28</c:f>
              <c:strCache>
                <c:ptCount val="9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</c:strCache>
            </c:strRef>
          </c:cat>
          <c:val>
            <c:numRef>
              <c:f>Data!$D$38:$L$38</c:f>
              <c:numCache>
                <c:formatCode>General</c:formatCode>
                <c:ptCount val="9"/>
                <c:pt idx="0">
                  <c:v>7.0723250144055765</c:v>
                </c:pt>
                <c:pt idx="1">
                  <c:v>-3.5953761791915912</c:v>
                </c:pt>
                <c:pt idx="2">
                  <c:v>5.9768569728930796</c:v>
                </c:pt>
                <c:pt idx="3">
                  <c:v>16.578565724785179</c:v>
                </c:pt>
                <c:pt idx="4">
                  <c:v>3.1702620617567234E-2</c:v>
                </c:pt>
                <c:pt idx="5">
                  <c:v>-0.58575496518641934</c:v>
                </c:pt>
                <c:pt idx="6">
                  <c:v>1.9782186079737532</c:v>
                </c:pt>
                <c:pt idx="7">
                  <c:v>2.5006972016399143</c:v>
                </c:pt>
                <c:pt idx="8">
                  <c:v>0.28999342589486865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51-4A9E-AC6F-534ADBE50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935639695"/>
        <c:axId val="935637775"/>
      </c:barChart>
      <c:catAx>
        <c:axId val="93563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637775"/>
        <c:crosses val="autoZero"/>
        <c:auto val="1"/>
        <c:lblAlgn val="ctr"/>
        <c:lblOffset val="100"/>
        <c:noMultiLvlLbl val="0"/>
      </c:catAx>
      <c:valAx>
        <c:axId val="93563777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63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Data!$B$14</c:f>
              <c:strCache>
                <c:ptCount val="1"/>
                <c:pt idx="0">
                  <c:v>LUT [#]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Data!$C$2:$L$2</c:f>
              <c:strCache>
                <c:ptCount val="10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</c:strCache>
            </c:strRef>
          </c:cat>
          <c:val>
            <c:numRef>
              <c:f>Data!$C$14:$L$14</c:f>
              <c:numCache>
                <c:formatCode>General</c:formatCode>
                <c:ptCount val="10"/>
                <c:pt idx="0">
                  <c:v>275</c:v>
                </c:pt>
                <c:pt idx="1">
                  <c:v>270</c:v>
                </c:pt>
                <c:pt idx="2">
                  <c:v>158</c:v>
                </c:pt>
                <c:pt idx="3">
                  <c:v>217</c:v>
                </c:pt>
                <c:pt idx="4">
                  <c:v>452</c:v>
                </c:pt>
                <c:pt idx="5">
                  <c:v>275</c:v>
                </c:pt>
                <c:pt idx="6">
                  <c:v>276</c:v>
                </c:pt>
                <c:pt idx="7">
                  <c:v>276</c:v>
                </c:pt>
                <c:pt idx="8">
                  <c:v>186</c:v>
                </c:pt>
                <c:pt idx="9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A-469D-B527-84693B19B69F}"/>
            </c:ext>
          </c:extLst>
        </c:ser>
        <c:ser>
          <c:idx val="1"/>
          <c:order val="1"/>
          <c:tx>
            <c:strRef>
              <c:f>Data!$B$15</c:f>
              <c:strCache>
                <c:ptCount val="1"/>
                <c:pt idx="0">
                  <c:v>LUTRAM [#]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Data!$C$2:$L$2</c:f>
              <c:strCache>
                <c:ptCount val="10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</c:strCache>
            </c:strRef>
          </c:cat>
          <c:val>
            <c:numRef>
              <c:f>Data!$C$15:$L$15</c:f>
              <c:numCache>
                <c:formatCode>General</c:formatCode>
                <c:ptCount val="10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0</c:v>
                </c:pt>
                <c:pt idx="4">
                  <c:v>0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A-469D-B527-84693B19B69F}"/>
            </c:ext>
          </c:extLst>
        </c:ser>
        <c:ser>
          <c:idx val="2"/>
          <c:order val="2"/>
          <c:tx>
            <c:strRef>
              <c:f>Data!$B$16</c:f>
              <c:strCache>
                <c:ptCount val="1"/>
                <c:pt idx="0">
                  <c:v>FF [#]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Data!$C$2:$L$2</c:f>
              <c:strCache>
                <c:ptCount val="10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</c:strCache>
            </c:strRef>
          </c:cat>
          <c:val>
            <c:numRef>
              <c:f>Data!$C$16:$L$16</c:f>
              <c:numCache>
                <c:formatCode>General</c:formatCode>
                <c:ptCount val="10"/>
                <c:pt idx="0">
                  <c:v>160</c:v>
                </c:pt>
                <c:pt idx="1">
                  <c:v>134</c:v>
                </c:pt>
                <c:pt idx="2">
                  <c:v>106</c:v>
                </c:pt>
                <c:pt idx="3">
                  <c:v>122</c:v>
                </c:pt>
                <c:pt idx="4">
                  <c:v>354</c:v>
                </c:pt>
                <c:pt idx="5">
                  <c:v>160</c:v>
                </c:pt>
                <c:pt idx="6">
                  <c:v>226</c:v>
                </c:pt>
                <c:pt idx="7">
                  <c:v>226</c:v>
                </c:pt>
                <c:pt idx="8">
                  <c:v>222</c:v>
                </c:pt>
                <c:pt idx="9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5A-469D-B527-84693B19B69F}"/>
            </c:ext>
          </c:extLst>
        </c:ser>
        <c:ser>
          <c:idx val="3"/>
          <c:order val="3"/>
          <c:tx>
            <c:strRef>
              <c:f>Data!$B$17</c:f>
              <c:strCache>
                <c:ptCount val="1"/>
                <c:pt idx="0">
                  <c:v>BRAM [#]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Data!$C$2:$L$2</c:f>
              <c:strCache>
                <c:ptCount val="10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</c:strCache>
            </c:strRef>
          </c:cat>
          <c:val>
            <c:numRef>
              <c:f>Data!$C$17:$L$17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5A-469D-B527-84693B19B69F}"/>
            </c:ext>
          </c:extLst>
        </c:ser>
        <c:ser>
          <c:idx val="4"/>
          <c:order val="4"/>
          <c:tx>
            <c:strRef>
              <c:f>Data!$B$18</c:f>
              <c:strCache>
                <c:ptCount val="1"/>
                <c:pt idx="0">
                  <c:v>DSP [#]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Data!$C$2:$L$2</c:f>
              <c:strCache>
                <c:ptCount val="10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</c:strCache>
            </c:strRef>
          </c:cat>
          <c:val>
            <c:numRef>
              <c:f>Data!$C$18:$L$18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5A-469D-B527-84693B19B69F}"/>
            </c:ext>
          </c:extLst>
        </c:ser>
        <c:ser>
          <c:idx val="5"/>
          <c:order val="5"/>
          <c:tx>
            <c:strRef>
              <c:f>Data!$B$19</c:f>
              <c:strCache>
                <c:ptCount val="1"/>
                <c:pt idx="0">
                  <c:v>IO [#]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Data!$C$2:$L$2</c:f>
              <c:strCache>
                <c:ptCount val="10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</c:strCache>
            </c:strRef>
          </c:cat>
          <c:val>
            <c:numRef>
              <c:f>Data!$C$19:$L$19</c:f>
              <c:numCache>
                <c:formatCode>General</c:formatCode>
                <c:ptCount val="10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  <c:pt idx="6">
                  <c:v>71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5A-469D-B527-84693B19B69F}"/>
            </c:ext>
          </c:extLst>
        </c:ser>
        <c:ser>
          <c:idx val="6"/>
          <c:order val="6"/>
          <c:tx>
            <c:strRef>
              <c:f>Data!$B$20</c:f>
              <c:strCache>
                <c:ptCount val="1"/>
                <c:pt idx="0">
                  <c:v>BUFG [#]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Data!$C$2:$L$2</c:f>
              <c:strCache>
                <c:ptCount val="10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</c:strCache>
            </c:strRef>
          </c:cat>
          <c:val>
            <c:numRef>
              <c:f>Data!$C$20:$L$20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5A-469D-B527-84693B19B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486351"/>
        <c:axId val="1358484431"/>
      </c:lineChart>
      <c:catAx>
        <c:axId val="135848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484431"/>
        <c:crosses val="autoZero"/>
        <c:auto val="1"/>
        <c:lblAlgn val="ctr"/>
        <c:lblOffset val="100"/>
        <c:noMultiLvlLbl val="0"/>
      </c:catAx>
      <c:valAx>
        <c:axId val="13584844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48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Analysis (Absolute Error)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Data!$C$40</c:f>
              <c:strCache>
                <c:ptCount val="1"/>
                <c:pt idx="0">
                  <c:v>LUT [#]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Data!$D$28:$L$28</c:f>
              <c:strCache>
                <c:ptCount val="9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</c:strCache>
            </c:strRef>
          </c:cat>
          <c:val>
            <c:numRef>
              <c:f>Data!$D$40:$L$40</c:f>
              <c:numCache>
                <c:formatCode>General</c:formatCode>
                <c:ptCount val="9"/>
                <c:pt idx="0">
                  <c:v>-5</c:v>
                </c:pt>
                <c:pt idx="1">
                  <c:v>-117</c:v>
                </c:pt>
                <c:pt idx="2">
                  <c:v>-58</c:v>
                </c:pt>
                <c:pt idx="3">
                  <c:v>177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-89</c:v>
                </c:pt>
                <c:pt idx="8">
                  <c:v>-89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3-4910-9F61-ABADC89AD800}"/>
            </c:ext>
          </c:extLst>
        </c:ser>
        <c:ser>
          <c:idx val="1"/>
          <c:order val="1"/>
          <c:tx>
            <c:strRef>
              <c:f>Data!$C$41</c:f>
              <c:strCache>
                <c:ptCount val="1"/>
                <c:pt idx="0">
                  <c:v>LUTRAM [#]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Data!$D$28:$L$28</c:f>
              <c:strCache>
                <c:ptCount val="9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</c:strCache>
            </c:strRef>
          </c:cat>
          <c:val>
            <c:numRef>
              <c:f>Data!$D$41:$L$41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-32</c:v>
                </c:pt>
                <c:pt idx="3">
                  <c:v>-32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3-4910-9F61-ABADC89AD800}"/>
            </c:ext>
          </c:extLst>
        </c:ser>
        <c:ser>
          <c:idx val="2"/>
          <c:order val="2"/>
          <c:tx>
            <c:strRef>
              <c:f>Data!$C$42</c:f>
              <c:strCache>
                <c:ptCount val="1"/>
                <c:pt idx="0">
                  <c:v>FF [#]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Data!$D$28:$L$28</c:f>
              <c:strCache>
                <c:ptCount val="9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</c:strCache>
            </c:strRef>
          </c:cat>
          <c:val>
            <c:numRef>
              <c:f>Data!$D$42:$L$42</c:f>
              <c:numCache>
                <c:formatCode>General</c:formatCode>
                <c:ptCount val="9"/>
                <c:pt idx="0">
                  <c:v>-26</c:v>
                </c:pt>
                <c:pt idx="1">
                  <c:v>-54</c:v>
                </c:pt>
                <c:pt idx="2">
                  <c:v>-38</c:v>
                </c:pt>
                <c:pt idx="3">
                  <c:v>194</c:v>
                </c:pt>
                <c:pt idx="4">
                  <c:v>0</c:v>
                </c:pt>
                <c:pt idx="5">
                  <c:v>66</c:v>
                </c:pt>
                <c:pt idx="6">
                  <c:v>66</c:v>
                </c:pt>
                <c:pt idx="7">
                  <c:v>62</c:v>
                </c:pt>
                <c:pt idx="8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73-4910-9F61-ABADC89AD800}"/>
            </c:ext>
          </c:extLst>
        </c:ser>
        <c:ser>
          <c:idx val="3"/>
          <c:order val="3"/>
          <c:tx>
            <c:strRef>
              <c:f>Data!$C$43</c:f>
              <c:strCache>
                <c:ptCount val="1"/>
                <c:pt idx="0">
                  <c:v>BRAM[#]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Data!$D$28:$L$28</c:f>
              <c:strCache>
                <c:ptCount val="9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</c:strCache>
            </c:strRef>
          </c:cat>
          <c:val>
            <c:numRef>
              <c:f>Data!$D$43:$L$43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73-4910-9F61-ABADC89AD800}"/>
            </c:ext>
          </c:extLst>
        </c:ser>
        <c:ser>
          <c:idx val="4"/>
          <c:order val="4"/>
          <c:tx>
            <c:strRef>
              <c:f>Data!$C$44</c:f>
              <c:strCache>
                <c:ptCount val="1"/>
                <c:pt idx="0">
                  <c:v>DSP [#]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Data!$D$28:$L$28</c:f>
              <c:strCache>
                <c:ptCount val="9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</c:strCache>
            </c:strRef>
          </c:cat>
          <c:val>
            <c:numRef>
              <c:f>Data!$D$44:$L$44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73-4910-9F61-ABADC89AD800}"/>
            </c:ext>
          </c:extLst>
        </c:ser>
        <c:ser>
          <c:idx val="5"/>
          <c:order val="5"/>
          <c:tx>
            <c:strRef>
              <c:f>Data!$C$45</c:f>
              <c:strCache>
                <c:ptCount val="1"/>
                <c:pt idx="0">
                  <c:v>IO [#]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Data!$D$28:$L$28</c:f>
              <c:strCache>
                <c:ptCount val="9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</c:strCache>
            </c:strRef>
          </c:cat>
          <c:val>
            <c:numRef>
              <c:f>Data!$D$45:$L$45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73-4910-9F61-ABADC89AD800}"/>
            </c:ext>
          </c:extLst>
        </c:ser>
        <c:ser>
          <c:idx val="6"/>
          <c:order val="6"/>
          <c:tx>
            <c:strRef>
              <c:f>Data!$C$46</c:f>
              <c:strCache>
                <c:ptCount val="1"/>
                <c:pt idx="0">
                  <c:v>BUFG [#]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Data!$D$28:$L$28</c:f>
              <c:strCache>
                <c:ptCount val="9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</c:strCache>
            </c:strRef>
          </c:cat>
          <c:val>
            <c:numRef>
              <c:f>Data!$D$46:$L$46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73-4910-9F61-ABADC89AD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1394628447"/>
        <c:axId val="1394626527"/>
      </c:barChart>
      <c:catAx>
        <c:axId val="139462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626527"/>
        <c:crosses val="autoZero"/>
        <c:auto val="1"/>
        <c:lblAlgn val="ctr"/>
        <c:lblOffset val="100"/>
        <c:noMultiLvlLbl val="0"/>
      </c:catAx>
      <c:valAx>
        <c:axId val="13946265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62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Power Analysis (Percentage Variation)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Data!$C$56</c:f>
              <c:strCache>
                <c:ptCount val="1"/>
                <c:pt idx="0">
                  <c:v>Clock Enable [%]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Data!$D$54:$L$54</c:f>
              <c:strCache>
                <c:ptCount val="9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</c:strCache>
            </c:strRef>
          </c:cat>
          <c:val>
            <c:numRef>
              <c:f>Data!$D$56:$L$56</c:f>
              <c:numCache>
                <c:formatCode>General</c:formatCode>
                <c:ptCount val="9"/>
                <c:pt idx="0">
                  <c:v>-18.435649023904833</c:v>
                </c:pt>
                <c:pt idx="1">
                  <c:v>-35.582227541156172</c:v>
                </c:pt>
                <c:pt idx="2">
                  <c:v>-69.829975862965838</c:v>
                </c:pt>
                <c:pt idx="3">
                  <c:v>-35.287029261036132</c:v>
                </c:pt>
                <c:pt idx="4">
                  <c:v>0.17798908281521064</c:v>
                </c:pt>
                <c:pt idx="5">
                  <c:v>-18.348112148948175</c:v>
                </c:pt>
                <c:pt idx="6">
                  <c:v>-4.7910388689480357</c:v>
                </c:pt>
                <c:pt idx="7">
                  <c:v>63.173117529499592</c:v>
                </c:pt>
                <c:pt idx="8">
                  <c:v>43.401893633662759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F-48F0-8505-1AC2411F0824}"/>
            </c:ext>
          </c:extLst>
        </c:ser>
        <c:ser>
          <c:idx val="1"/>
          <c:order val="1"/>
          <c:tx>
            <c:strRef>
              <c:f>Data!$C$57</c:f>
              <c:strCache>
                <c:ptCount val="1"/>
                <c:pt idx="0">
                  <c:v>Clocks [%]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Data!$D$54:$L$54</c:f>
              <c:strCache>
                <c:ptCount val="9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</c:strCache>
            </c:strRef>
          </c:cat>
          <c:val>
            <c:numRef>
              <c:f>Data!$D$57:$L$57</c:f>
              <c:numCache>
                <c:formatCode>General</c:formatCode>
                <c:ptCount val="9"/>
                <c:pt idx="0">
                  <c:v>44.533976647304748</c:v>
                </c:pt>
                <c:pt idx="1">
                  <c:v>-9.5885464674817307</c:v>
                </c:pt>
                <c:pt idx="2">
                  <c:v>-84.807098472780623</c:v>
                </c:pt>
                <c:pt idx="3">
                  <c:v>-67.989122335392153</c:v>
                </c:pt>
                <c:pt idx="4">
                  <c:v>1.8255068319380879E-2</c:v>
                </c:pt>
                <c:pt idx="5">
                  <c:v>31.713880824477464</c:v>
                </c:pt>
                <c:pt idx="6">
                  <c:v>47.292733141933198</c:v>
                </c:pt>
                <c:pt idx="7">
                  <c:v>-34.695768655224043</c:v>
                </c:pt>
                <c:pt idx="8">
                  <c:v>-27.175844196344091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CF-48F0-8505-1AC2411F0824}"/>
            </c:ext>
          </c:extLst>
        </c:ser>
        <c:ser>
          <c:idx val="2"/>
          <c:order val="2"/>
          <c:tx>
            <c:strRef>
              <c:f>Data!$C$58</c:f>
              <c:strCache>
                <c:ptCount val="1"/>
                <c:pt idx="0">
                  <c:v>DSP [%]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Data!$D$54:$L$54</c:f>
              <c:strCache>
                <c:ptCount val="9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</c:strCache>
            </c:strRef>
          </c:cat>
          <c:val>
            <c:numRef>
              <c:f>Data!$D$58:$L$58</c:f>
              <c:numCache>
                <c:formatCode>General</c:formatCode>
                <c:ptCount val="9"/>
                <c:pt idx="0">
                  <c:v>23.779754142979883</c:v>
                </c:pt>
                <c:pt idx="1">
                  <c:v>-4.1243105024289388</c:v>
                </c:pt>
                <c:pt idx="2">
                  <c:v>232.65371189335323</c:v>
                </c:pt>
                <c:pt idx="3">
                  <c:v>114.87014328483636</c:v>
                </c:pt>
                <c:pt idx="4">
                  <c:v>2.5547223948603879</c:v>
                </c:pt>
                <c:pt idx="5">
                  <c:v>-9.318023115098212</c:v>
                </c:pt>
                <c:pt idx="6">
                  <c:v>8.5413170348358936</c:v>
                </c:pt>
                <c:pt idx="7">
                  <c:v>384.59144613835406</c:v>
                </c:pt>
                <c:pt idx="8">
                  <c:v>362.35999596209587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CF-48F0-8505-1AC2411F0824}"/>
            </c:ext>
          </c:extLst>
        </c:ser>
        <c:ser>
          <c:idx val="3"/>
          <c:order val="3"/>
          <c:tx>
            <c:strRef>
              <c:f>Data!$C$59</c:f>
              <c:strCache>
                <c:ptCount val="1"/>
                <c:pt idx="0">
                  <c:v>Hierarchical [%]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Data!$D$54:$L$54</c:f>
              <c:strCache>
                <c:ptCount val="9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</c:strCache>
            </c:strRef>
          </c:cat>
          <c:val>
            <c:numRef>
              <c:f>Data!$D$59:$L$59</c:f>
              <c:numCache>
                <c:formatCode>General</c:formatCode>
                <c:ptCount val="9"/>
                <c:pt idx="0">
                  <c:v>47.144033771028802</c:v>
                </c:pt>
                <c:pt idx="1">
                  <c:v>-23.966723887494993</c:v>
                </c:pt>
                <c:pt idx="2">
                  <c:v>53.886518500914882</c:v>
                </c:pt>
                <c:pt idx="3">
                  <c:v>128.00170178729215</c:v>
                </c:pt>
                <c:pt idx="4">
                  <c:v>0.2113327784458463</c:v>
                </c:pt>
                <c:pt idx="5">
                  <c:v>-3.9046308766122064</c:v>
                </c:pt>
                <c:pt idx="6">
                  <c:v>13.186784192549087</c:v>
                </c:pt>
                <c:pt idx="7">
                  <c:v>16.669612449792055</c:v>
                </c:pt>
                <c:pt idx="8">
                  <c:v>1.933098005925262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CF-48F0-8505-1AC2411F0824}"/>
            </c:ext>
          </c:extLst>
        </c:ser>
        <c:ser>
          <c:idx val="4"/>
          <c:order val="4"/>
          <c:tx>
            <c:strRef>
              <c:f>Data!$C$60</c:f>
              <c:strCache>
                <c:ptCount val="1"/>
                <c:pt idx="0">
                  <c:v>I/O [%]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Data!$D$54:$L$54</c:f>
              <c:strCache>
                <c:ptCount val="9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</c:strCache>
            </c:strRef>
          </c:cat>
          <c:val>
            <c:numRef>
              <c:f>Data!$D$60:$L$60</c:f>
              <c:numCache>
                <c:formatCode>General</c:formatCode>
                <c:ptCount val="9"/>
                <c:pt idx="0">
                  <c:v>75.96781758086874</c:v>
                </c:pt>
                <c:pt idx="1">
                  <c:v>-31.026058615961897</c:v>
                </c:pt>
                <c:pt idx="2">
                  <c:v>93.700773718361802</c:v>
                </c:pt>
                <c:pt idx="3">
                  <c:v>199.02318489636534</c:v>
                </c:pt>
                <c:pt idx="4">
                  <c:v>-0.14294122208613866</c:v>
                </c:pt>
                <c:pt idx="5">
                  <c:v>-9.9595015114334409</c:v>
                </c:pt>
                <c:pt idx="6">
                  <c:v>6.441768993004418</c:v>
                </c:pt>
                <c:pt idx="7">
                  <c:v>5.2948420757547465</c:v>
                </c:pt>
                <c:pt idx="8">
                  <c:v>-12.936781631347413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CF-48F0-8505-1AC2411F0824}"/>
            </c:ext>
          </c:extLst>
        </c:ser>
        <c:ser>
          <c:idx val="5"/>
          <c:order val="5"/>
          <c:tx>
            <c:strRef>
              <c:f>Data!$C$61</c:f>
              <c:strCache>
                <c:ptCount val="1"/>
                <c:pt idx="0">
                  <c:v>Logic [%]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Data!$D$54:$L$54</c:f>
              <c:strCache>
                <c:ptCount val="9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</c:strCache>
            </c:strRef>
          </c:cat>
          <c:val>
            <c:numRef>
              <c:f>Data!$D$61:$L$61</c:f>
              <c:numCache>
                <c:formatCode>General</c:formatCode>
                <c:ptCount val="9"/>
                <c:pt idx="0">
                  <c:v>-9.0317142123497565</c:v>
                </c:pt>
                <c:pt idx="1">
                  <c:v>-35.941321142839868</c:v>
                </c:pt>
                <c:pt idx="2">
                  <c:v>-51.773191884360415</c:v>
                </c:pt>
                <c:pt idx="3">
                  <c:v>27.687502585921099</c:v>
                </c:pt>
                <c:pt idx="4">
                  <c:v>0.43275451861124714</c:v>
                </c:pt>
                <c:pt idx="5">
                  <c:v>-5.7176290820840343</c:v>
                </c:pt>
                <c:pt idx="6">
                  <c:v>11.572742320958476</c:v>
                </c:pt>
                <c:pt idx="7">
                  <c:v>13.31010241669518</c:v>
                </c:pt>
                <c:pt idx="8">
                  <c:v>-17.736833278430218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7CF-48F0-8505-1AC2411F0824}"/>
            </c:ext>
          </c:extLst>
        </c:ser>
        <c:ser>
          <c:idx val="6"/>
          <c:order val="6"/>
          <c:tx>
            <c:strRef>
              <c:f>Data!$C$62</c:f>
              <c:strCache>
                <c:ptCount val="1"/>
                <c:pt idx="0">
                  <c:v>Set/Reset [%]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Data!$D$54:$L$54</c:f>
              <c:strCache>
                <c:ptCount val="9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</c:strCache>
            </c:strRef>
          </c:cat>
          <c:val>
            <c:numRef>
              <c:f>Data!$D$62:$L$62</c:f>
              <c:numCache>
                <c:formatCode>General</c:formatCode>
                <c:ptCount val="9"/>
                <c:pt idx="0">
                  <c:v>-6.1062119553996101</c:v>
                </c:pt>
                <c:pt idx="1">
                  <c:v>16.699472858087848</c:v>
                </c:pt>
                <c:pt idx="2">
                  <c:v>133.57469157577469</c:v>
                </c:pt>
                <c:pt idx="3">
                  <c:v>213.86600774937611</c:v>
                </c:pt>
                <c:pt idx="4">
                  <c:v>-1.8867997932835279</c:v>
                </c:pt>
                <c:pt idx="5">
                  <c:v>-2.8699969800628463E-4</c:v>
                </c:pt>
                <c:pt idx="6">
                  <c:v>-5.0093118646503276</c:v>
                </c:pt>
                <c:pt idx="7">
                  <c:v>91.95956952341308</c:v>
                </c:pt>
                <c:pt idx="8">
                  <c:v>67.583754005798596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7CF-48F0-8505-1AC2411F0824}"/>
            </c:ext>
          </c:extLst>
        </c:ser>
        <c:ser>
          <c:idx val="7"/>
          <c:order val="7"/>
          <c:tx>
            <c:strRef>
              <c:f>Data!$C$63</c:f>
              <c:strCache>
                <c:ptCount val="1"/>
                <c:pt idx="0">
                  <c:v>Data [%]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Data!$D$54:$L$54</c:f>
              <c:strCache>
                <c:ptCount val="9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</c:strCache>
            </c:strRef>
          </c:cat>
          <c:val>
            <c:numRef>
              <c:f>Data!$D$63:$L$63</c:f>
              <c:numCache>
                <c:formatCode>General</c:formatCode>
                <c:ptCount val="9"/>
                <c:pt idx="0">
                  <c:v>37.230272296319036</c:v>
                </c:pt>
                <c:pt idx="1">
                  <c:v>-6.8867784064323034</c:v>
                </c:pt>
                <c:pt idx="2">
                  <c:v>-36.10269420209714</c:v>
                </c:pt>
                <c:pt idx="3">
                  <c:v>22.192452849382104</c:v>
                </c:pt>
                <c:pt idx="4">
                  <c:v>0.73837857733366508</c:v>
                </c:pt>
                <c:pt idx="5">
                  <c:v>-15.506470320589177</c:v>
                </c:pt>
                <c:pt idx="6">
                  <c:v>7.087770802776193</c:v>
                </c:pt>
                <c:pt idx="7">
                  <c:v>-21.641136960128545</c:v>
                </c:pt>
                <c:pt idx="8">
                  <c:v>-31.148781306585942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7CF-48F0-8505-1AC2411F0824}"/>
            </c:ext>
          </c:extLst>
        </c:ser>
        <c:ser>
          <c:idx val="8"/>
          <c:order val="8"/>
          <c:tx>
            <c:strRef>
              <c:f>Data!$C$64</c:f>
              <c:strCache>
                <c:ptCount val="1"/>
                <c:pt idx="0">
                  <c:v>Total [%]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Data!$D$54:$L$54</c:f>
              <c:strCache>
                <c:ptCount val="9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</c:strCache>
            </c:strRef>
          </c:cat>
          <c:val>
            <c:numRef>
              <c:f>Data!$D$64:$L$64</c:f>
              <c:numCache>
                <c:formatCode>General</c:formatCode>
                <c:ptCount val="9"/>
                <c:pt idx="0">
                  <c:v>47.144020453505753</c:v>
                </c:pt>
                <c:pt idx="1">
                  <c:v>-23.966727742941849</c:v>
                </c:pt>
                <c:pt idx="2">
                  <c:v>39.841645682828201</c:v>
                </c:pt>
                <c:pt idx="3">
                  <c:v>110.51248917817915</c:v>
                </c:pt>
                <c:pt idx="4">
                  <c:v>0.21132922932416195</c:v>
                </c:pt>
                <c:pt idx="5">
                  <c:v>-3.9046344735631631</c:v>
                </c:pt>
                <c:pt idx="6">
                  <c:v>13.186777803036081</c:v>
                </c:pt>
                <c:pt idx="7">
                  <c:v>16.669612861682875</c:v>
                </c:pt>
                <c:pt idx="8">
                  <c:v>1.9330921548320512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7CF-48F0-8505-1AC2411F0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78880"/>
        <c:axId val="184472640"/>
      </c:lineChart>
      <c:catAx>
        <c:axId val="18447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2640"/>
        <c:crosses val="autoZero"/>
        <c:auto val="1"/>
        <c:lblAlgn val="ctr"/>
        <c:lblOffset val="100"/>
        <c:noMultiLvlLbl val="0"/>
      </c:catAx>
      <c:valAx>
        <c:axId val="184472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Analysis (Percentage Variation)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Data!$C$66</c:f>
              <c:strCache>
                <c:ptCount val="1"/>
                <c:pt idx="0">
                  <c:v>LUT [#]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Data!$D$54:$L$54</c:f>
              <c:strCache>
                <c:ptCount val="9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</c:strCache>
            </c:strRef>
          </c:cat>
          <c:val>
            <c:numRef>
              <c:f>Data!$D$66:$L$66</c:f>
              <c:numCache>
                <c:formatCode>General</c:formatCode>
                <c:ptCount val="9"/>
                <c:pt idx="0">
                  <c:v>-1.8181818181818181</c:v>
                </c:pt>
                <c:pt idx="1">
                  <c:v>-42.545454545454547</c:v>
                </c:pt>
                <c:pt idx="2">
                  <c:v>-21.09090909090909</c:v>
                </c:pt>
                <c:pt idx="3">
                  <c:v>64.363636363636374</c:v>
                </c:pt>
                <c:pt idx="4">
                  <c:v>0</c:v>
                </c:pt>
                <c:pt idx="5">
                  <c:v>0.36363636363636365</c:v>
                </c:pt>
                <c:pt idx="6">
                  <c:v>0.36363636363636365</c:v>
                </c:pt>
                <c:pt idx="7">
                  <c:v>-32.36363636363636</c:v>
                </c:pt>
                <c:pt idx="8">
                  <c:v>-32.36363636363636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73-428B-9358-81C8B6D4B534}"/>
            </c:ext>
          </c:extLst>
        </c:ser>
        <c:ser>
          <c:idx val="1"/>
          <c:order val="1"/>
          <c:tx>
            <c:strRef>
              <c:f>Data!$C$67</c:f>
              <c:strCache>
                <c:ptCount val="1"/>
                <c:pt idx="0">
                  <c:v>LUTRAM [#]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Data!$D$54:$L$54</c:f>
              <c:strCache>
                <c:ptCount val="9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</c:strCache>
            </c:strRef>
          </c:cat>
          <c:val>
            <c:numRef>
              <c:f>Data!$D$67:$L$67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-100</c:v>
                </c:pt>
                <c:pt idx="3">
                  <c:v>-100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73-428B-9358-81C8B6D4B534}"/>
            </c:ext>
          </c:extLst>
        </c:ser>
        <c:ser>
          <c:idx val="2"/>
          <c:order val="2"/>
          <c:tx>
            <c:strRef>
              <c:f>Data!$C$68</c:f>
              <c:strCache>
                <c:ptCount val="1"/>
                <c:pt idx="0">
                  <c:v>FF [#]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Data!$D$54:$L$54</c:f>
              <c:strCache>
                <c:ptCount val="9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</c:strCache>
            </c:strRef>
          </c:cat>
          <c:val>
            <c:numRef>
              <c:f>Data!$D$68:$L$68</c:f>
              <c:numCache>
                <c:formatCode>General</c:formatCode>
                <c:ptCount val="9"/>
                <c:pt idx="0">
                  <c:v>-16.25</c:v>
                </c:pt>
                <c:pt idx="1">
                  <c:v>-33.75</c:v>
                </c:pt>
                <c:pt idx="2">
                  <c:v>-23.75</c:v>
                </c:pt>
                <c:pt idx="3">
                  <c:v>121.24999999999999</c:v>
                </c:pt>
                <c:pt idx="4">
                  <c:v>0</c:v>
                </c:pt>
                <c:pt idx="5">
                  <c:v>41.25</c:v>
                </c:pt>
                <c:pt idx="6">
                  <c:v>41.25</c:v>
                </c:pt>
                <c:pt idx="7">
                  <c:v>38.75</c:v>
                </c:pt>
                <c:pt idx="8">
                  <c:v>50.625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73-428B-9358-81C8B6D4B534}"/>
            </c:ext>
          </c:extLst>
        </c:ser>
        <c:ser>
          <c:idx val="3"/>
          <c:order val="3"/>
          <c:tx>
            <c:strRef>
              <c:f>Data!$C$69</c:f>
              <c:strCache>
                <c:ptCount val="1"/>
                <c:pt idx="0">
                  <c:v>BRAM[#]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Data!$D$54:$L$54</c:f>
              <c:strCache>
                <c:ptCount val="9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</c:strCache>
            </c:strRef>
          </c:cat>
          <c:val>
            <c:numRef>
              <c:f>Data!$D$69:$L$69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73-428B-9358-81C8B6D4B534}"/>
            </c:ext>
          </c:extLst>
        </c:ser>
        <c:ser>
          <c:idx val="4"/>
          <c:order val="4"/>
          <c:tx>
            <c:strRef>
              <c:f>Data!$C$70</c:f>
              <c:strCache>
                <c:ptCount val="1"/>
                <c:pt idx="0">
                  <c:v>DSP [#]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Data!$D$54:$L$54</c:f>
              <c:strCache>
                <c:ptCount val="9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</c:strCache>
            </c:strRef>
          </c:cat>
          <c:val>
            <c:numRef>
              <c:f>Data!$D$70:$L$70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73-428B-9358-81C8B6D4B534}"/>
            </c:ext>
          </c:extLst>
        </c:ser>
        <c:ser>
          <c:idx val="5"/>
          <c:order val="5"/>
          <c:tx>
            <c:strRef>
              <c:f>Data!$C$71</c:f>
              <c:strCache>
                <c:ptCount val="1"/>
                <c:pt idx="0">
                  <c:v>IO [#]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Data!$D$54:$L$54</c:f>
              <c:strCache>
                <c:ptCount val="9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</c:strCache>
            </c:strRef>
          </c:cat>
          <c:val>
            <c:numRef>
              <c:f>Data!$D$71:$L$71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73-428B-9358-81C8B6D4B534}"/>
            </c:ext>
          </c:extLst>
        </c:ser>
        <c:ser>
          <c:idx val="6"/>
          <c:order val="6"/>
          <c:tx>
            <c:strRef>
              <c:f>Data!$C$72</c:f>
              <c:strCache>
                <c:ptCount val="1"/>
                <c:pt idx="0">
                  <c:v>BUFG [#]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Data!$D$54:$L$54</c:f>
              <c:strCache>
                <c:ptCount val="9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</c:strCache>
            </c:strRef>
          </c:cat>
          <c:val>
            <c:numRef>
              <c:f>Data!$D$72:$L$72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73-428B-9358-81C8B6D4B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562224"/>
        <c:axId val="1284572304"/>
      </c:lineChart>
      <c:catAx>
        <c:axId val="128456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72304"/>
        <c:crosses val="autoZero"/>
        <c:auto val="1"/>
        <c:lblAlgn val="ctr"/>
        <c:lblOffset val="100"/>
        <c:noMultiLvlLbl val="0"/>
      </c:catAx>
      <c:valAx>
        <c:axId val="1284572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6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3208</xdr:colOff>
      <xdr:row>79</xdr:row>
      <xdr:rowOff>21782</xdr:rowOff>
    </xdr:from>
    <xdr:to>
      <xdr:col>6</xdr:col>
      <xdr:colOff>1562100</xdr:colOff>
      <xdr:row>98</xdr:row>
      <xdr:rowOff>188843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EA15B43-FEF9-6099-FAD9-431308EB6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1892997</xdr:colOff>
      <xdr:row>99</xdr:row>
      <xdr:rowOff>164400</xdr:rowOff>
    </xdr:from>
    <xdr:to>
      <xdr:col>11</xdr:col>
      <xdr:colOff>2533318</xdr:colOff>
      <xdr:row>120</xdr:row>
      <xdr:rowOff>34679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844EF450-BADA-6BD5-6B89-825C31FF4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2415559</xdr:colOff>
      <xdr:row>99</xdr:row>
      <xdr:rowOff>109067</xdr:rowOff>
    </xdr:from>
    <xdr:to>
      <xdr:col>6</xdr:col>
      <xdr:colOff>1571623</xdr:colOff>
      <xdr:row>119</xdr:row>
      <xdr:rowOff>92534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7F58DC4-5BEC-94E9-A1A5-5AA7227A8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1863180</xdr:colOff>
      <xdr:row>78</xdr:row>
      <xdr:rowOff>170545</xdr:rowOff>
    </xdr:from>
    <xdr:to>
      <xdr:col>11</xdr:col>
      <xdr:colOff>2524125</xdr:colOff>
      <xdr:row>99</xdr:row>
      <xdr:rowOff>36303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A381D31-A6C4-3EC4-BA30-73AB09A9A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2819400</xdr:colOff>
      <xdr:row>78</xdr:row>
      <xdr:rowOff>171448</xdr:rowOff>
    </xdr:from>
    <xdr:to>
      <xdr:col>28</xdr:col>
      <xdr:colOff>241155</xdr:colOff>
      <xdr:row>99</xdr:row>
      <xdr:rowOff>1731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FE0C046-66AB-FFC4-07F7-3F50A1C4F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2807709</xdr:colOff>
      <xdr:row>100</xdr:row>
      <xdr:rowOff>20349</xdr:rowOff>
    </xdr:from>
    <xdr:to>
      <xdr:col>28</xdr:col>
      <xdr:colOff>244618</xdr:colOff>
      <xdr:row>120</xdr:row>
      <xdr:rowOff>6494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968032EB-8DDB-F0C9-7EC5-8A8C356B4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2FD06-CF12-407A-B05E-22928E94B38D}">
  <sheetPr>
    <pageSetUpPr fitToPage="1"/>
  </sheetPr>
  <dimension ref="B2:L77"/>
  <sheetViews>
    <sheetView tabSelected="1" topLeftCell="A12" zoomScale="55" zoomScaleNormal="55" workbookViewId="0">
      <selection activeCell="O72" sqref="O72"/>
    </sheetView>
  </sheetViews>
  <sheetFormatPr defaultRowHeight="15" x14ac:dyDescent="0.25"/>
  <cols>
    <col min="1" max="1" width="9.140625" style="1"/>
    <col min="2" max="3" width="36.28515625" style="1" bestFit="1" customWidth="1"/>
    <col min="4" max="4" width="28" style="1" bestFit="1" customWidth="1"/>
    <col min="5" max="5" width="26.140625" style="1" bestFit="1" customWidth="1"/>
    <col min="6" max="7" width="39.140625" style="1" bestFit="1" customWidth="1"/>
    <col min="8" max="8" width="46.28515625" style="1" bestFit="1" customWidth="1"/>
    <col min="9" max="12" width="44.7109375" style="1" bestFit="1" customWidth="1"/>
    <col min="13" max="16384" width="9.140625" style="1"/>
  </cols>
  <sheetData>
    <row r="2" spans="2:12" ht="18.75" x14ac:dyDescent="0.25">
      <c r="B2" s="23" t="s">
        <v>25</v>
      </c>
      <c r="C2" s="2" t="s">
        <v>0</v>
      </c>
      <c r="D2" s="2" t="s">
        <v>2</v>
      </c>
      <c r="E2" s="2" t="s">
        <v>1</v>
      </c>
      <c r="F2" s="2" t="s">
        <v>27</v>
      </c>
      <c r="G2" s="2" t="s">
        <v>28</v>
      </c>
      <c r="H2" s="2" t="s">
        <v>30</v>
      </c>
      <c r="I2" s="2" t="s">
        <v>31</v>
      </c>
      <c r="J2" s="2" t="s">
        <v>32</v>
      </c>
      <c r="K2" s="2" t="s">
        <v>33</v>
      </c>
      <c r="L2" s="2" t="s">
        <v>35</v>
      </c>
    </row>
    <row r="3" spans="2:12" ht="15.75" x14ac:dyDescent="0.25">
      <c r="B3" s="24"/>
      <c r="C3" s="20" t="s">
        <v>22</v>
      </c>
      <c r="D3" s="20"/>
      <c r="E3" s="20"/>
      <c r="F3" s="20"/>
      <c r="G3" s="20"/>
      <c r="H3" s="20"/>
      <c r="I3" s="20"/>
      <c r="J3" s="20"/>
      <c r="K3" s="20"/>
      <c r="L3" s="20"/>
    </row>
    <row r="4" spans="2:12" x14ac:dyDescent="0.25">
      <c r="B4" s="9" t="s">
        <v>12</v>
      </c>
      <c r="C4" s="3">
        <f>1000*0.000454227469163015</f>
        <v>0.45422746916301499</v>
      </c>
      <c r="D4" s="9">
        <f>1000*0.000370487687177956</f>
        <v>0.37048768717795599</v>
      </c>
      <c r="E4" s="4">
        <f>1000*0.000292603217530996</f>
        <v>0.292603217530996</v>
      </c>
      <c r="F4" s="9">
        <f>1000*0.000137040537083521</f>
        <v>0.13704053708352099</v>
      </c>
      <c r="G4" s="9">
        <f>1000*0.000293944089207798</f>
        <v>0.29394408920779802</v>
      </c>
      <c r="H4" s="9">
        <f>1000*0.000455035944469273</f>
        <v>0.45503594446927298</v>
      </c>
      <c r="I4" s="9">
        <f>1000*0.000370885303709656</f>
        <v>0.370885303709656</v>
      </c>
      <c r="J4" s="9">
        <f>1000*0.000432465254561976</f>
        <v>0.43246525456197599</v>
      </c>
      <c r="K4" s="9">
        <f>1000*0.000741177122108638</f>
        <v>0.74117712210863795</v>
      </c>
      <c r="L4" s="9">
        <f>1000*0.000651370792184025</f>
        <v>0.65137079218402505</v>
      </c>
    </row>
    <row r="5" spans="2:12" x14ac:dyDescent="0.25">
      <c r="B5" s="10" t="s">
        <v>13</v>
      </c>
      <c r="C5" s="1">
        <f>1000*0.00121548492461443</f>
        <v>1.2154849246144299</v>
      </c>
      <c r="D5" s="10">
        <f>1000*0.00175678869709373</f>
        <v>1.7567886970937299</v>
      </c>
      <c r="E5" s="5">
        <f>1000*0.00109893758781254</f>
        <v>1.09893758781254</v>
      </c>
      <c r="F5" s="10">
        <f>1000*0.000184667427674867</f>
        <v>0.18466742767486699</v>
      </c>
      <c r="G5" s="10">
        <f>1000*0.000389087392250076</f>
        <v>0.38908739225007599</v>
      </c>
      <c r="H5" s="10">
        <f>1000*0.00121570681221783</f>
        <v>1.2157068122178301</v>
      </c>
      <c r="I5" s="10">
        <f>1000*0.00160096236504614</f>
        <v>1.60096236504614</v>
      </c>
      <c r="J5" s="10">
        <f>1000*0.00179032096639276</f>
        <v>1.7903209663927602</v>
      </c>
      <c r="K5" s="10">
        <f>1000*0.000793763087131083</f>
        <v>0.79376308713108301</v>
      </c>
      <c r="L5" s="10">
        <f>1000*0.000885166635271162</f>
        <v>0.88516663527116202</v>
      </c>
    </row>
    <row r="6" spans="2:12" x14ac:dyDescent="0.25">
      <c r="B6" s="10" t="s">
        <v>14</v>
      </c>
      <c r="C6" s="1">
        <f>1000*0.000335011805873364</f>
        <v>0.33501180587336399</v>
      </c>
      <c r="D6" s="10">
        <f>1000*0.000414676789660007</f>
        <v>0.41467678966000698</v>
      </c>
      <c r="E6" s="5">
        <f>1000*0.000321194878779352</f>
        <v>0.32119487877935199</v>
      </c>
      <c r="F6" s="10">
        <f>1000*0.0011144292075187</f>
        <v>1.1144292075187001</v>
      </c>
      <c r="G6" s="10">
        <f>1000*0.000719840347301215</f>
        <v>0.71984034730121504</v>
      </c>
      <c r="H6" s="10">
        <f>1000*0.000343570427503437</f>
        <v>0.34357042750343703</v>
      </c>
      <c r="I6" s="10">
        <f>1000*0.000303795328363776</f>
        <v>0.30379532836377598</v>
      </c>
      <c r="J6" s="10">
        <f>1000*0.000363626226317137</f>
        <v>0.36362622631713698</v>
      </c>
      <c r="K6" s="10">
        <f>1000*0.00162343855481595</f>
        <v>1.62343855481595</v>
      </c>
      <c r="L6" s="10">
        <f>1000*0.00154896057210863</f>
        <v>1.5489605721086301</v>
      </c>
    </row>
    <row r="7" spans="2:12" x14ac:dyDescent="0.25">
      <c r="B7" s="10" t="s">
        <v>15</v>
      </c>
      <c r="C7" s="1">
        <f>1000*0.00750076537951827</f>
        <v>7.5007653795182696</v>
      </c>
      <c r="D7" s="10">
        <f>1000*0.011036928743124</f>
        <v>11.036928743123999</v>
      </c>
      <c r="E7" s="5">
        <f>1000*0.00570307765156031</f>
        <v>5.7030776515603101</v>
      </c>
      <c r="F7" s="10">
        <f>1000*0.0115426667034626</f>
        <v>11.542666703462601</v>
      </c>
      <c r="G7" s="10">
        <f>1000*0.0171018727123737</f>
        <v>17.101872712373698</v>
      </c>
      <c r="H7" s="10">
        <f>1000*0.00751661695539951</f>
        <v>7.5166169553995097</v>
      </c>
      <c r="I7" s="10">
        <f>1000*0.00720788817852736</f>
        <v>7.2078881785273605</v>
      </c>
      <c r="J7" s="10">
        <f>1000*0.00848987512290478</f>
        <v>8.4898751229047793</v>
      </c>
      <c r="K7" s="10">
        <f>1000*0.00875111389905214</f>
        <v>8.7511138990521395</v>
      </c>
      <c r="L7" s="10">
        <f>1000*0.00764576252549887</f>
        <v>7.6457625254988697</v>
      </c>
    </row>
    <row r="8" spans="2:12" x14ac:dyDescent="0.25">
      <c r="B8" s="10" t="s">
        <v>16</v>
      </c>
      <c r="C8" s="1">
        <f>1000*0.00356393656693399</f>
        <v>3.56393656693399</v>
      </c>
      <c r="D8" s="10">
        <f>1000*0.00627138139680028</f>
        <v>6.2713813968002796</v>
      </c>
      <c r="E8" s="5">
        <f>1000*0.00245818751864135</f>
        <v>2.45818751864135</v>
      </c>
      <c r="F8" s="10">
        <f>1000*0.00690337270498276</f>
        <v>6.9033727049827602</v>
      </c>
      <c r="G8" s="10">
        <f>1000*0.0106569966301322</f>
        <v>10.6569966301322</v>
      </c>
      <c r="H8" s="10">
        <f>1000*0.00355884223245084</f>
        <v>3.5588422324508397</v>
      </c>
      <c r="I8" s="10">
        <f>1000*0.00320898625068367</f>
        <v>3.2089862506836702</v>
      </c>
      <c r="J8" s="10">
        <f>1000*0.00379351712763309</f>
        <v>3.7935171276330899</v>
      </c>
      <c r="K8" s="10">
        <f>1000*0.00375264137983322</f>
        <v>3.7526413798332201</v>
      </c>
      <c r="L8" s="10">
        <f>1000*0.00310287787579</f>
        <v>3.10287787579</v>
      </c>
    </row>
    <row r="9" spans="2:12" x14ac:dyDescent="0.25">
      <c r="B9" s="10" t="s">
        <v>17</v>
      </c>
      <c r="C9" s="1">
        <f>1000*0.000921480532269925</f>
        <v>0.92148053226992499</v>
      </c>
      <c r="D9" s="10">
        <f>1000*0.000838255044072866</f>
        <v>0.838255044072866</v>
      </c>
      <c r="E9" s="5">
        <f>1000*0.000590288254898041</f>
        <v>0.59028825489804104</v>
      </c>
      <c r="F9" s="10">
        <f>1000*0.000444400648120791</f>
        <v>0.444400648120791</v>
      </c>
      <c r="G9" s="10">
        <f>1000*0.00117661547847092</f>
        <v>1.17661547847092</v>
      </c>
      <c r="H9" s="10">
        <f>1000*0.000925468280911446</f>
        <v>0.92546828091144606</v>
      </c>
      <c r="I9" s="10">
        <f>1000*0.000868793693371117</f>
        <v>0.868793693371117</v>
      </c>
      <c r="J9" s="10">
        <f>1000*0.00102812109980732</f>
        <v>1.02812109980732</v>
      </c>
      <c r="K9" s="10">
        <f>1000*0.00104413053486496</f>
        <v>1.0441305348649599</v>
      </c>
      <c r="L9" s="10">
        <f>1000*0.000758039066568017</f>
        <v>0.75803906656801701</v>
      </c>
    </row>
    <row r="10" spans="2:12" x14ac:dyDescent="0.25">
      <c r="B10" s="10" t="s">
        <v>18</v>
      </c>
      <c r="C10" s="13">
        <f>1000*3.56509622179146E-06</f>
        <v>3.56509622179146E-3</v>
      </c>
      <c r="D10" s="14">
        <f>1000*3.34740389007493E-06</f>
        <v>3.3474038900749301E-3</v>
      </c>
      <c r="E10" s="5">
        <f>1000*4.16044849771424E-06</f>
        <v>4.1604484977142402E-3</v>
      </c>
      <c r="F10" s="10">
        <f>1000*0.000008327162504429</f>
        <v>8.3271625044289994E-3</v>
      </c>
      <c r="G10" s="10">
        <f>1000*0.0000111896251837607</f>
        <v>1.1189625183760699E-2</v>
      </c>
      <c r="H10" s="10">
        <f>1000*3.49782999364834E-06</f>
        <v>3.4978299936483399E-3</v>
      </c>
      <c r="I10" s="10">
        <f>1000*3.56508598997607E-06</f>
        <v>3.5650859899760698E-3</v>
      </c>
      <c r="J10" s="10">
        <f>1000*3.38650943376706E-06</f>
        <v>3.3865094337670598E-3</v>
      </c>
      <c r="K10" s="10">
        <f>1000*6.84354336044635E-06</f>
        <v>6.8435433604463504E-3</v>
      </c>
      <c r="L10" s="10">
        <f>1000*5.97452208239702E-06</f>
        <v>5.9745220823970201E-3</v>
      </c>
    </row>
    <row r="11" spans="2:12" x14ac:dyDescent="0.25">
      <c r="B11" s="10" t="s">
        <v>19</v>
      </c>
      <c r="C11" s="1">
        <f>1000*0.00100705958902836</f>
        <v>1.00705958902836</v>
      </c>
      <c r="D11" s="10">
        <f>1000*0.00138199061620981</f>
        <v>1.3819906162098099</v>
      </c>
      <c r="E11" s="5">
        <f>1000*0.000937705626711249</f>
        <v>0.93770562671124902</v>
      </c>
      <c r="F11" s="10">
        <f>1000*0.000643483945168555</f>
        <v>0.643483945168555</v>
      </c>
      <c r="G11" s="10">
        <f>1000*0.00123055081348866</f>
        <v>1.23055081348866</v>
      </c>
      <c r="H11" s="10">
        <f>1000*0.00101449550129473</f>
        <v>1.0144955012947299</v>
      </c>
      <c r="I11" s="10">
        <f>1000*0.00085090019274503</f>
        <v>0.85090019274503004</v>
      </c>
      <c r="J11" s="10">
        <f>1000*0.00107843766454607</f>
        <v>1.07843766454607</v>
      </c>
      <c r="K11" s="10">
        <f>1000*0.000789120444096625</f>
        <v>0.78912044409662496</v>
      </c>
      <c r="L11" s="10">
        <f>1000*0.000693372800014913</f>
        <v>0.69337280001491297</v>
      </c>
    </row>
    <row r="12" spans="2:12" x14ac:dyDescent="0.25">
      <c r="B12" s="11" t="s">
        <v>21</v>
      </c>
      <c r="C12" s="11">
        <f t="shared" ref="C12:H12" si="0">SUM(C4:C11)</f>
        <v>15.001531363623146</v>
      </c>
      <c r="D12" s="11">
        <f t="shared" si="0"/>
        <v>22.073856378028722</v>
      </c>
      <c r="E12" s="11">
        <f t="shared" si="0"/>
        <v>11.406155184431555</v>
      </c>
      <c r="F12" s="11">
        <f t="shared" si="0"/>
        <v>20.978388336516225</v>
      </c>
      <c r="G12" s="11">
        <f t="shared" si="0"/>
        <v>31.580097088408326</v>
      </c>
      <c r="H12" s="11">
        <f t="shared" si="0"/>
        <v>15.033233984240713</v>
      </c>
      <c r="I12" s="11">
        <f>SUM(I4:I11)</f>
        <v>14.415776398436726</v>
      </c>
      <c r="J12" s="11">
        <f>SUM(J4:J11)</f>
        <v>16.979749971596899</v>
      </c>
      <c r="K12" s="11">
        <f>SUM(K4:K11)</f>
        <v>17.50222856526306</v>
      </c>
      <c r="L12" s="11">
        <f>SUM(L4:L11)</f>
        <v>15.291524789518014</v>
      </c>
    </row>
    <row r="13" spans="2:12" ht="15.75" x14ac:dyDescent="0.25">
      <c r="B13" s="15"/>
      <c r="C13" s="20" t="s">
        <v>3</v>
      </c>
      <c r="D13" s="20"/>
      <c r="E13" s="20"/>
      <c r="F13" s="20"/>
      <c r="G13" s="20"/>
      <c r="H13" s="20"/>
      <c r="I13" s="20"/>
      <c r="J13" s="20"/>
      <c r="K13" s="20"/>
      <c r="L13" s="20"/>
    </row>
    <row r="14" spans="2:12" x14ac:dyDescent="0.25">
      <c r="B14" s="9" t="s">
        <v>6</v>
      </c>
      <c r="C14" s="3">
        <v>275</v>
      </c>
      <c r="D14" s="9">
        <v>270</v>
      </c>
      <c r="E14" s="4">
        <v>158</v>
      </c>
      <c r="F14" s="9">
        <v>217</v>
      </c>
      <c r="G14" s="9">
        <v>452</v>
      </c>
      <c r="H14" s="9">
        <v>275</v>
      </c>
      <c r="I14" s="9">
        <v>276</v>
      </c>
      <c r="J14" s="9">
        <v>276</v>
      </c>
      <c r="K14" s="9">
        <v>186</v>
      </c>
      <c r="L14" s="9">
        <v>186</v>
      </c>
    </row>
    <row r="15" spans="2:12" x14ac:dyDescent="0.25">
      <c r="B15" s="10" t="s">
        <v>7</v>
      </c>
      <c r="C15" s="1">
        <v>32</v>
      </c>
      <c r="D15" s="10">
        <v>32</v>
      </c>
      <c r="E15" s="5">
        <v>32</v>
      </c>
      <c r="F15" s="10">
        <v>0</v>
      </c>
      <c r="G15" s="10">
        <v>0</v>
      </c>
      <c r="H15" s="10">
        <v>32</v>
      </c>
      <c r="I15" s="10">
        <v>32</v>
      </c>
      <c r="J15" s="10">
        <v>32</v>
      </c>
      <c r="K15" s="10">
        <v>32</v>
      </c>
      <c r="L15" s="10">
        <v>32</v>
      </c>
    </row>
    <row r="16" spans="2:12" x14ac:dyDescent="0.25">
      <c r="B16" s="10" t="s">
        <v>8</v>
      </c>
      <c r="C16" s="1">
        <v>160</v>
      </c>
      <c r="D16" s="10">
        <v>134</v>
      </c>
      <c r="E16" s="5">
        <v>106</v>
      </c>
      <c r="F16" s="10">
        <v>122</v>
      </c>
      <c r="G16" s="10">
        <v>354</v>
      </c>
      <c r="H16" s="10">
        <v>160</v>
      </c>
      <c r="I16" s="10">
        <v>226</v>
      </c>
      <c r="J16" s="10">
        <v>226</v>
      </c>
      <c r="K16" s="10">
        <v>222</v>
      </c>
      <c r="L16" s="10">
        <v>241</v>
      </c>
    </row>
    <row r="17" spans="2:12" x14ac:dyDescent="0.25">
      <c r="B17" s="10" t="s">
        <v>26</v>
      </c>
      <c r="C17" s="1">
        <v>0</v>
      </c>
      <c r="D17" s="10">
        <v>0</v>
      </c>
      <c r="E17" s="10">
        <v>0</v>
      </c>
      <c r="F17" s="10">
        <v>1</v>
      </c>
      <c r="G17" s="10">
        <v>1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</row>
    <row r="18" spans="2:12" x14ac:dyDescent="0.25">
      <c r="B18" s="10" t="s">
        <v>9</v>
      </c>
      <c r="C18" s="1">
        <v>2</v>
      </c>
      <c r="D18" s="10">
        <v>2</v>
      </c>
      <c r="E18" s="5">
        <v>2</v>
      </c>
      <c r="F18" s="10">
        <v>4</v>
      </c>
      <c r="G18" s="10">
        <v>4</v>
      </c>
      <c r="H18" s="10">
        <v>2</v>
      </c>
      <c r="I18" s="10">
        <v>2</v>
      </c>
      <c r="J18" s="10">
        <v>2</v>
      </c>
      <c r="K18" s="10">
        <v>4</v>
      </c>
      <c r="L18" s="10">
        <v>4</v>
      </c>
    </row>
    <row r="19" spans="2:12" x14ac:dyDescent="0.25">
      <c r="B19" s="10" t="s">
        <v>10</v>
      </c>
      <c r="C19" s="1">
        <v>71</v>
      </c>
      <c r="D19" s="10">
        <v>71</v>
      </c>
      <c r="E19" s="5">
        <v>71</v>
      </c>
      <c r="F19" s="10">
        <v>71</v>
      </c>
      <c r="G19" s="10">
        <v>71</v>
      </c>
      <c r="H19" s="10">
        <v>71</v>
      </c>
      <c r="I19" s="10">
        <v>71</v>
      </c>
      <c r="J19" s="10">
        <v>71</v>
      </c>
      <c r="K19" s="10">
        <v>71</v>
      </c>
      <c r="L19" s="10">
        <v>71</v>
      </c>
    </row>
    <row r="20" spans="2:12" x14ac:dyDescent="0.25">
      <c r="B20" s="11" t="s">
        <v>11</v>
      </c>
      <c r="C20" s="7">
        <v>1</v>
      </c>
      <c r="D20" s="11">
        <v>1</v>
      </c>
      <c r="E20" s="8">
        <v>1</v>
      </c>
      <c r="F20" s="11">
        <v>1</v>
      </c>
      <c r="G20" s="11">
        <v>1</v>
      </c>
      <c r="H20" s="11">
        <v>1</v>
      </c>
      <c r="I20" s="11">
        <v>1</v>
      </c>
      <c r="J20" s="11">
        <v>1</v>
      </c>
      <c r="K20" s="11">
        <v>1</v>
      </c>
      <c r="L20" s="11">
        <v>1</v>
      </c>
    </row>
    <row r="21" spans="2:12" ht="15.75" x14ac:dyDescent="0.25">
      <c r="B21" s="19"/>
      <c r="C21" s="20" t="s">
        <v>23</v>
      </c>
      <c r="D21" s="20"/>
      <c r="E21" s="20"/>
      <c r="F21" s="20"/>
      <c r="G21" s="20"/>
      <c r="H21" s="20"/>
      <c r="I21" s="20"/>
      <c r="J21" s="20"/>
      <c r="K21" s="20"/>
      <c r="L21" s="20"/>
    </row>
    <row r="22" spans="2:12" x14ac:dyDescent="0.25">
      <c r="B22" s="9" t="s">
        <v>34</v>
      </c>
      <c r="C22" s="9">
        <v>44</v>
      </c>
      <c r="D22" s="9">
        <v>43</v>
      </c>
      <c r="E22" s="9">
        <v>67</v>
      </c>
      <c r="F22" s="9">
        <v>35</v>
      </c>
      <c r="G22" s="9">
        <v>25</v>
      </c>
      <c r="H22" s="9">
        <v>44</v>
      </c>
      <c r="I22" s="9">
        <v>50</v>
      </c>
      <c r="J22" s="9">
        <v>44</v>
      </c>
      <c r="K22" s="9">
        <v>47</v>
      </c>
      <c r="L22" s="9">
        <v>53</v>
      </c>
    </row>
    <row r="23" spans="2:12" x14ac:dyDescent="0.25">
      <c r="B23" s="10" t="s">
        <v>5</v>
      </c>
      <c r="C23" s="10">
        <v>10</v>
      </c>
      <c r="D23" s="10">
        <v>10</v>
      </c>
      <c r="E23" s="10">
        <v>10</v>
      </c>
      <c r="F23" s="10">
        <v>10</v>
      </c>
      <c r="G23" s="10">
        <v>10</v>
      </c>
      <c r="H23" s="10">
        <v>10</v>
      </c>
      <c r="I23" s="10">
        <v>9</v>
      </c>
      <c r="J23" s="10">
        <v>8</v>
      </c>
      <c r="K23" s="10">
        <v>7</v>
      </c>
      <c r="L23" s="10">
        <v>6</v>
      </c>
    </row>
    <row r="24" spans="2:12" x14ac:dyDescent="0.25">
      <c r="B24" s="10" t="s">
        <v>4</v>
      </c>
      <c r="C24" s="10">
        <v>3.6539999999999999</v>
      </c>
      <c r="D24" s="10">
        <v>3.0739999999999998</v>
      </c>
      <c r="E24" s="10">
        <v>3.464</v>
      </c>
      <c r="F24" s="10">
        <v>4.2030000000000003</v>
      </c>
      <c r="G24" s="10">
        <v>2.472</v>
      </c>
      <c r="H24" s="10">
        <v>3.6539999999999999</v>
      </c>
      <c r="I24" s="10">
        <v>3.06</v>
      </c>
      <c r="J24" s="10">
        <v>2.2770000000000001</v>
      </c>
      <c r="K24" s="10">
        <v>1.33</v>
      </c>
      <c r="L24" s="10">
        <v>1.573</v>
      </c>
    </row>
    <row r="25" spans="2:12" x14ac:dyDescent="0.25">
      <c r="B25" s="6" t="s">
        <v>20</v>
      </c>
      <c r="C25" s="11">
        <f t="shared" ref="C25:J25" si="1">1000*1/(C23-C24)</f>
        <v>157.5795776867318</v>
      </c>
      <c r="D25" s="11">
        <f t="shared" si="1"/>
        <v>144.38348252959861</v>
      </c>
      <c r="E25" s="11">
        <f t="shared" si="1"/>
        <v>152.99877600979192</v>
      </c>
      <c r="F25" s="11">
        <f t="shared" si="1"/>
        <v>172.50301880282905</v>
      </c>
      <c r="G25" s="11">
        <f t="shared" si="1"/>
        <v>132.8374070138151</v>
      </c>
      <c r="H25" s="11">
        <f t="shared" si="1"/>
        <v>157.5795776867318</v>
      </c>
      <c r="I25" s="11">
        <f t="shared" si="1"/>
        <v>168.35016835016836</v>
      </c>
      <c r="J25" s="11">
        <f t="shared" si="1"/>
        <v>174.73353136466889</v>
      </c>
      <c r="K25" s="11">
        <f>1000*1/(K23-K24)</f>
        <v>176.3668430335097</v>
      </c>
      <c r="L25" s="11">
        <f>1000*1/(L23-L24)</f>
        <v>225.886604924328</v>
      </c>
    </row>
    <row r="27" spans="2:12" ht="18.75" customHeight="1" x14ac:dyDescent="0.25"/>
    <row r="28" spans="2:12" ht="15.75" customHeight="1" x14ac:dyDescent="0.25">
      <c r="C28" s="21" t="s">
        <v>24</v>
      </c>
      <c r="D28" s="2" t="s">
        <v>2</v>
      </c>
      <c r="E28" s="2" t="s">
        <v>1</v>
      </c>
      <c r="F28" s="2" t="s">
        <v>27</v>
      </c>
      <c r="G28" s="2" t="s">
        <v>28</v>
      </c>
      <c r="H28" s="2" t="s">
        <v>30</v>
      </c>
      <c r="I28" s="2" t="s">
        <v>31</v>
      </c>
      <c r="J28" s="2" t="s">
        <v>32</v>
      </c>
      <c r="K28" s="2" t="s">
        <v>33</v>
      </c>
      <c r="L28" s="2" t="s">
        <v>35</v>
      </c>
    </row>
    <row r="29" spans="2:12" ht="21" customHeight="1" x14ac:dyDescent="0.25">
      <c r="C29" s="22"/>
      <c r="D29" s="20" t="s">
        <v>22</v>
      </c>
      <c r="E29" s="20"/>
      <c r="F29" s="20"/>
      <c r="G29" s="20"/>
      <c r="H29" s="20"/>
      <c r="I29" s="20"/>
      <c r="J29" s="20"/>
      <c r="K29" s="20"/>
      <c r="L29" s="26"/>
    </row>
    <row r="30" spans="2:12" x14ac:dyDescent="0.25">
      <c r="C30" s="17" t="s">
        <v>12</v>
      </c>
      <c r="D30" s="9">
        <f t="shared" ref="D30:D38" si="2">D4-C4</f>
        <v>-8.3739781985058992E-2</v>
      </c>
      <c r="E30" s="17">
        <f t="shared" ref="E30:E38" si="3">E4-C4</f>
        <v>-0.16162425163201899</v>
      </c>
      <c r="F30" s="17">
        <f t="shared" ref="F30:F38" si="4">F4-C4</f>
        <v>-0.317186932079494</v>
      </c>
      <c r="G30" s="17">
        <f>G4-C4</f>
        <v>-0.16028337995521696</v>
      </c>
      <c r="H30" s="17">
        <f>H4-C4</f>
        <v>8.0847530625799413E-4</v>
      </c>
      <c r="I30" s="17">
        <f>I4-C4</f>
        <v>-8.3342165453358985E-2</v>
      </c>
      <c r="J30" s="17">
        <f>J4-C4</f>
        <v>-2.1762214601038998E-2</v>
      </c>
      <c r="K30" s="17">
        <f>K4-C4</f>
        <v>0.28694965294562297</v>
      </c>
      <c r="L30" s="9">
        <f>L4-C4</f>
        <v>0.19714332302101006</v>
      </c>
    </row>
    <row r="31" spans="2:12" x14ac:dyDescent="0.25">
      <c r="C31" s="16" t="s">
        <v>13</v>
      </c>
      <c r="D31" s="10">
        <f t="shared" si="2"/>
        <v>0.54130377247929995</v>
      </c>
      <c r="E31" s="16">
        <f t="shared" si="3"/>
        <v>-0.11654733680188989</v>
      </c>
      <c r="F31" s="16">
        <f t="shared" si="4"/>
        <v>-1.0308174969395629</v>
      </c>
      <c r="G31" s="16">
        <f t="shared" ref="G31:G38" si="5">G5-C5</f>
        <v>-0.82639753236435398</v>
      </c>
      <c r="H31" s="16">
        <f t="shared" ref="H31:H38" si="6">H5-C5</f>
        <v>2.2188760340013935E-4</v>
      </c>
      <c r="I31" s="16">
        <f t="shared" ref="I31:I38" si="7">I5-C5</f>
        <v>0.38547744043171006</v>
      </c>
      <c r="J31" s="16">
        <f t="shared" ref="J31:J38" si="8">J5-C5</f>
        <v>0.57483604177833025</v>
      </c>
      <c r="K31" s="16">
        <f t="shared" ref="K31:L38" si="9">K5-C5</f>
        <v>-0.42172183748334691</v>
      </c>
      <c r="L31" s="10">
        <f t="shared" ref="L31:L38" si="10">L5-C5</f>
        <v>-0.3303182893432679</v>
      </c>
    </row>
    <row r="32" spans="2:12" x14ac:dyDescent="0.25">
      <c r="C32" s="16" t="s">
        <v>14</v>
      </c>
      <c r="D32" s="10">
        <f t="shared" si="2"/>
        <v>7.9664983786642996E-2</v>
      </c>
      <c r="E32" s="16">
        <f t="shared" si="3"/>
        <v>-1.3816927094011999E-2</v>
      </c>
      <c r="F32" s="16">
        <f t="shared" si="4"/>
        <v>0.77941740164533613</v>
      </c>
      <c r="G32" s="16">
        <f t="shared" si="5"/>
        <v>0.38482854142785106</v>
      </c>
      <c r="H32" s="16">
        <f t="shared" si="6"/>
        <v>8.5586216300730378E-3</v>
      </c>
      <c r="I32" s="16">
        <f t="shared" si="7"/>
        <v>-3.1216477509588003E-2</v>
      </c>
      <c r="J32" s="16">
        <f t="shared" si="8"/>
        <v>2.8614420443772992E-2</v>
      </c>
      <c r="K32" s="16">
        <f t="shared" si="9"/>
        <v>1.288426748942586</v>
      </c>
      <c r="L32" s="10">
        <f t="shared" si="10"/>
        <v>1.2139487662352662</v>
      </c>
    </row>
    <row r="33" spans="3:12" x14ac:dyDescent="0.25">
      <c r="C33" s="16" t="s">
        <v>15</v>
      </c>
      <c r="D33" s="10">
        <f t="shared" si="2"/>
        <v>3.5361633636057297</v>
      </c>
      <c r="E33" s="16">
        <f t="shared" si="3"/>
        <v>-1.7976877279579595</v>
      </c>
      <c r="F33" s="16">
        <f t="shared" si="4"/>
        <v>4.0419013239443311</v>
      </c>
      <c r="G33" s="16">
        <f t="shared" si="5"/>
        <v>9.6011073328554275</v>
      </c>
      <c r="H33" s="16">
        <f t="shared" si="6"/>
        <v>1.5851575881240088E-2</v>
      </c>
      <c r="I33" s="16">
        <f t="shared" si="7"/>
        <v>-0.29287720099090908</v>
      </c>
      <c r="J33" s="16">
        <f t="shared" si="8"/>
        <v>0.9891097433865097</v>
      </c>
      <c r="K33" s="16">
        <f t="shared" si="9"/>
        <v>1.2503485195338699</v>
      </c>
      <c r="L33" s="10">
        <f t="shared" si="10"/>
        <v>0.1449971459806001</v>
      </c>
    </row>
    <row r="34" spans="3:12" x14ac:dyDescent="0.25">
      <c r="C34" s="16" t="s">
        <v>16</v>
      </c>
      <c r="D34" s="10">
        <f t="shared" si="2"/>
        <v>2.7074448298662896</v>
      </c>
      <c r="E34" s="16">
        <f t="shared" si="3"/>
        <v>-1.10574904829264</v>
      </c>
      <c r="F34" s="16">
        <f t="shared" si="4"/>
        <v>3.3394361380487703</v>
      </c>
      <c r="G34" s="16">
        <f t="shared" si="5"/>
        <v>7.0930600631982106</v>
      </c>
      <c r="H34" s="16">
        <f t="shared" si="6"/>
        <v>-5.0943344831502202E-3</v>
      </c>
      <c r="I34" s="16">
        <f t="shared" si="7"/>
        <v>-0.35495031625031981</v>
      </c>
      <c r="J34" s="16">
        <f t="shared" si="8"/>
        <v>0.22958056069909993</v>
      </c>
      <c r="K34" s="16">
        <f t="shared" si="9"/>
        <v>0.18870481289923013</v>
      </c>
      <c r="L34" s="10">
        <f t="shared" si="10"/>
        <v>-0.46105869114399001</v>
      </c>
    </row>
    <row r="35" spans="3:12" x14ac:dyDescent="0.25">
      <c r="C35" s="16" t="s">
        <v>17</v>
      </c>
      <c r="D35" s="10">
        <f t="shared" si="2"/>
        <v>-8.3225488197058994E-2</v>
      </c>
      <c r="E35" s="16">
        <f t="shared" si="3"/>
        <v>-0.33119227737188395</v>
      </c>
      <c r="F35" s="16">
        <f t="shared" si="4"/>
        <v>-0.47707988414913399</v>
      </c>
      <c r="G35" s="16">
        <f t="shared" si="5"/>
        <v>0.25513494620099497</v>
      </c>
      <c r="H35" s="16">
        <f t="shared" si="6"/>
        <v>3.9877486415210717E-3</v>
      </c>
      <c r="I35" s="16">
        <f t="shared" si="7"/>
        <v>-5.2686838898807986E-2</v>
      </c>
      <c r="J35" s="16">
        <f t="shared" si="8"/>
        <v>0.10664056753739504</v>
      </c>
      <c r="K35" s="16">
        <f t="shared" si="9"/>
        <v>0.12265000259503489</v>
      </c>
      <c r="L35" s="10">
        <f t="shared" si="10"/>
        <v>-0.16344146570190798</v>
      </c>
    </row>
    <row r="36" spans="3:12" x14ac:dyDescent="0.25">
      <c r="C36" s="16" t="s">
        <v>18</v>
      </c>
      <c r="D36" s="10">
        <f t="shared" si="2"/>
        <v>-2.1769233171652991E-4</v>
      </c>
      <c r="E36" s="16">
        <f t="shared" si="3"/>
        <v>5.9535227592278023E-4</v>
      </c>
      <c r="F36" s="16">
        <f t="shared" si="4"/>
        <v>4.7620662826375389E-3</v>
      </c>
      <c r="G36" s="16">
        <f t="shared" si="5"/>
        <v>7.6245289619692388E-3</v>
      </c>
      <c r="H36" s="16">
        <f t="shared" si="6"/>
        <v>-6.7266228143120135E-5</v>
      </c>
      <c r="I36" s="16">
        <f t="shared" si="7"/>
        <v>-1.0231815390174953E-8</v>
      </c>
      <c r="J36" s="16">
        <f t="shared" si="8"/>
        <v>-1.7858678802440018E-4</v>
      </c>
      <c r="K36" s="16">
        <f t="shared" si="9"/>
        <v>3.2784471386548904E-3</v>
      </c>
      <c r="L36" s="10">
        <f t="shared" si="10"/>
        <v>2.4094258606055601E-3</v>
      </c>
    </row>
    <row r="37" spans="3:12" x14ac:dyDescent="0.25">
      <c r="C37" s="16" t="s">
        <v>19</v>
      </c>
      <c r="D37" s="10">
        <f t="shared" si="2"/>
        <v>0.37493102718144988</v>
      </c>
      <c r="E37" s="16">
        <f t="shared" si="3"/>
        <v>-6.9353962317110995E-2</v>
      </c>
      <c r="F37" s="16">
        <f t="shared" si="4"/>
        <v>-0.36357564385980501</v>
      </c>
      <c r="G37" s="16">
        <f t="shared" si="5"/>
        <v>0.22349122446030001</v>
      </c>
      <c r="H37" s="16">
        <f t="shared" si="6"/>
        <v>7.4359122663698596E-3</v>
      </c>
      <c r="I37" s="16">
        <f t="shared" si="7"/>
        <v>-0.15615939628332998</v>
      </c>
      <c r="J37" s="16">
        <f t="shared" si="8"/>
        <v>7.1378075517710027E-2</v>
      </c>
      <c r="K37" s="16">
        <f t="shared" si="9"/>
        <v>-0.21793914493173505</v>
      </c>
      <c r="L37" s="10">
        <f t="shared" si="10"/>
        <v>-0.31368678901344704</v>
      </c>
    </row>
    <row r="38" spans="3:12" x14ac:dyDescent="0.25">
      <c r="C38" s="6" t="s">
        <v>21</v>
      </c>
      <c r="D38" s="11">
        <f t="shared" si="2"/>
        <v>7.0723250144055765</v>
      </c>
      <c r="E38" s="6">
        <f t="shared" si="3"/>
        <v>-3.5953761791915912</v>
      </c>
      <c r="F38" s="6">
        <f t="shared" si="4"/>
        <v>5.9768569728930796</v>
      </c>
      <c r="G38" s="6">
        <f t="shared" si="5"/>
        <v>16.578565724785179</v>
      </c>
      <c r="H38" s="6">
        <f t="shared" si="6"/>
        <v>3.1702620617567234E-2</v>
      </c>
      <c r="I38" s="6">
        <f t="shared" si="7"/>
        <v>-0.58575496518641934</v>
      </c>
      <c r="J38" s="6">
        <f t="shared" si="8"/>
        <v>1.9782186079737532</v>
      </c>
      <c r="K38" s="6">
        <f t="shared" si="9"/>
        <v>2.5006972016399143</v>
      </c>
      <c r="L38" s="11">
        <f t="shared" si="10"/>
        <v>0.28999342589486865</v>
      </c>
    </row>
    <row r="39" spans="3:12" ht="15.75" x14ac:dyDescent="0.25">
      <c r="C39" s="12"/>
      <c r="D39" s="20" t="s">
        <v>3</v>
      </c>
      <c r="E39" s="20"/>
      <c r="F39" s="20"/>
      <c r="G39" s="20"/>
      <c r="H39" s="20"/>
      <c r="I39" s="20"/>
      <c r="J39" s="20"/>
      <c r="K39" s="20"/>
      <c r="L39" s="27"/>
    </row>
    <row r="40" spans="3:12" x14ac:dyDescent="0.25">
      <c r="C40" s="17" t="s">
        <v>6</v>
      </c>
      <c r="D40" s="9">
        <f t="shared" ref="D40:D46" si="11">D14-C14</f>
        <v>-5</v>
      </c>
      <c r="E40" s="17">
        <f t="shared" ref="E40:E46" si="12">E14-C14</f>
        <v>-117</v>
      </c>
      <c r="F40" s="17">
        <f t="shared" ref="F40:F46" si="13">F14-C14</f>
        <v>-58</v>
      </c>
      <c r="G40" s="17">
        <f>G14-C14</f>
        <v>177</v>
      </c>
      <c r="H40" s="17">
        <f>H14-C14</f>
        <v>0</v>
      </c>
      <c r="I40" s="17">
        <f>I14-C14</f>
        <v>1</v>
      </c>
      <c r="J40" s="17">
        <f>J14-C14</f>
        <v>1</v>
      </c>
      <c r="K40" s="17">
        <f>K14-C14</f>
        <v>-89</v>
      </c>
      <c r="L40" s="9">
        <f>L14-C14</f>
        <v>-89</v>
      </c>
    </row>
    <row r="41" spans="3:12" x14ac:dyDescent="0.25">
      <c r="C41" s="16" t="s">
        <v>7</v>
      </c>
      <c r="D41" s="10">
        <f t="shared" si="11"/>
        <v>0</v>
      </c>
      <c r="E41" s="16">
        <f t="shared" si="12"/>
        <v>0</v>
      </c>
      <c r="F41" s="16">
        <f t="shared" si="13"/>
        <v>-32</v>
      </c>
      <c r="G41" s="16">
        <f t="shared" ref="G41:G46" si="14">G15-C15</f>
        <v>-32</v>
      </c>
      <c r="H41" s="16">
        <f t="shared" ref="H41:H46" si="15">H15-C15</f>
        <v>0</v>
      </c>
      <c r="I41" s="16">
        <f t="shared" ref="I41:I46" si="16">I15-C15</f>
        <v>0</v>
      </c>
      <c r="J41" s="16">
        <f t="shared" ref="J41:J46" si="17">J15-C15</f>
        <v>0</v>
      </c>
      <c r="K41" s="16">
        <f t="shared" ref="K41:L46" si="18">K15-C15</f>
        <v>0</v>
      </c>
      <c r="L41" s="10">
        <f t="shared" ref="L41:L46" si="19">L15-C15</f>
        <v>0</v>
      </c>
    </row>
    <row r="42" spans="3:12" x14ac:dyDescent="0.25">
      <c r="C42" s="16" t="s">
        <v>8</v>
      </c>
      <c r="D42" s="10">
        <f t="shared" si="11"/>
        <v>-26</v>
      </c>
      <c r="E42" s="16">
        <f t="shared" si="12"/>
        <v>-54</v>
      </c>
      <c r="F42" s="16">
        <f t="shared" si="13"/>
        <v>-38</v>
      </c>
      <c r="G42" s="16">
        <f t="shared" si="14"/>
        <v>194</v>
      </c>
      <c r="H42" s="16">
        <f t="shared" si="15"/>
        <v>0</v>
      </c>
      <c r="I42" s="16">
        <f t="shared" si="16"/>
        <v>66</v>
      </c>
      <c r="J42" s="16">
        <f t="shared" si="17"/>
        <v>66</v>
      </c>
      <c r="K42" s="16">
        <f t="shared" si="18"/>
        <v>62</v>
      </c>
      <c r="L42" s="10">
        <f t="shared" si="19"/>
        <v>81</v>
      </c>
    </row>
    <row r="43" spans="3:12" x14ac:dyDescent="0.25">
      <c r="C43" s="16" t="s">
        <v>29</v>
      </c>
      <c r="D43" s="10">
        <f t="shared" si="11"/>
        <v>0</v>
      </c>
      <c r="E43" s="16">
        <f t="shared" si="12"/>
        <v>0</v>
      </c>
      <c r="F43" s="16">
        <f t="shared" si="13"/>
        <v>1</v>
      </c>
      <c r="G43" s="16">
        <f t="shared" si="14"/>
        <v>1</v>
      </c>
      <c r="H43" s="16">
        <f t="shared" si="15"/>
        <v>0</v>
      </c>
      <c r="I43" s="16">
        <f t="shared" si="16"/>
        <v>0</v>
      </c>
      <c r="J43" s="16">
        <f t="shared" si="17"/>
        <v>0</v>
      </c>
      <c r="K43" s="16">
        <f t="shared" si="18"/>
        <v>0</v>
      </c>
      <c r="L43" s="10">
        <f t="shared" si="19"/>
        <v>0</v>
      </c>
    </row>
    <row r="44" spans="3:12" x14ac:dyDescent="0.25">
      <c r="C44" s="16" t="s">
        <v>9</v>
      </c>
      <c r="D44" s="10">
        <f t="shared" si="11"/>
        <v>0</v>
      </c>
      <c r="E44" s="16">
        <f t="shared" si="12"/>
        <v>0</v>
      </c>
      <c r="F44" s="16">
        <f t="shared" si="13"/>
        <v>2</v>
      </c>
      <c r="G44" s="16">
        <f t="shared" si="14"/>
        <v>2</v>
      </c>
      <c r="H44" s="16">
        <f t="shared" si="15"/>
        <v>0</v>
      </c>
      <c r="I44" s="16">
        <f t="shared" si="16"/>
        <v>0</v>
      </c>
      <c r="J44" s="16">
        <f t="shared" si="17"/>
        <v>0</v>
      </c>
      <c r="K44" s="16">
        <f t="shared" si="18"/>
        <v>2</v>
      </c>
      <c r="L44" s="10">
        <f t="shared" si="19"/>
        <v>2</v>
      </c>
    </row>
    <row r="45" spans="3:12" x14ac:dyDescent="0.25">
      <c r="C45" s="16" t="s">
        <v>10</v>
      </c>
      <c r="D45" s="10">
        <f t="shared" si="11"/>
        <v>0</v>
      </c>
      <c r="E45" s="16">
        <f t="shared" si="12"/>
        <v>0</v>
      </c>
      <c r="F45" s="16">
        <f t="shared" si="13"/>
        <v>0</v>
      </c>
      <c r="G45" s="16">
        <f t="shared" si="14"/>
        <v>0</v>
      </c>
      <c r="H45" s="16">
        <f t="shared" si="15"/>
        <v>0</v>
      </c>
      <c r="I45" s="16">
        <f t="shared" si="16"/>
        <v>0</v>
      </c>
      <c r="J45" s="16">
        <f t="shared" si="17"/>
        <v>0</v>
      </c>
      <c r="K45" s="16">
        <f t="shared" si="18"/>
        <v>0</v>
      </c>
      <c r="L45" s="10">
        <f t="shared" si="19"/>
        <v>0</v>
      </c>
    </row>
    <row r="46" spans="3:12" x14ac:dyDescent="0.25">
      <c r="C46" s="6" t="s">
        <v>11</v>
      </c>
      <c r="D46" s="11">
        <f t="shared" si="11"/>
        <v>0</v>
      </c>
      <c r="E46" s="6">
        <f t="shared" si="12"/>
        <v>0</v>
      </c>
      <c r="F46" s="6">
        <f t="shared" si="13"/>
        <v>0</v>
      </c>
      <c r="G46" s="6">
        <f t="shared" si="14"/>
        <v>0</v>
      </c>
      <c r="H46" s="6">
        <f t="shared" si="15"/>
        <v>0</v>
      </c>
      <c r="I46" s="6">
        <f t="shared" si="16"/>
        <v>0</v>
      </c>
      <c r="J46" s="6">
        <f t="shared" si="17"/>
        <v>0</v>
      </c>
      <c r="K46" s="6">
        <f t="shared" si="18"/>
        <v>0</v>
      </c>
      <c r="L46" s="11">
        <f t="shared" si="19"/>
        <v>0</v>
      </c>
    </row>
    <row r="47" spans="3:12" ht="15.75" x14ac:dyDescent="0.25">
      <c r="C47" s="18"/>
      <c r="D47" s="20" t="s">
        <v>23</v>
      </c>
      <c r="E47" s="20"/>
      <c r="F47" s="20"/>
      <c r="G47" s="20"/>
      <c r="H47" s="20"/>
      <c r="I47" s="20"/>
      <c r="J47" s="20"/>
      <c r="K47" s="20"/>
      <c r="L47" s="27"/>
    </row>
    <row r="48" spans="3:12" x14ac:dyDescent="0.25">
      <c r="C48" s="17" t="s">
        <v>34</v>
      </c>
      <c r="D48" s="9">
        <f>D22-C22</f>
        <v>-1</v>
      </c>
      <c r="E48" s="3">
        <f>E22-C22</f>
        <v>23</v>
      </c>
      <c r="F48" s="9">
        <f>F22-C22</f>
        <v>-9</v>
      </c>
      <c r="G48" s="3">
        <f>G22-C22</f>
        <v>-19</v>
      </c>
      <c r="H48" s="9">
        <f>H22-C22</f>
        <v>0</v>
      </c>
      <c r="I48" s="9">
        <f>I22-C22</f>
        <v>6</v>
      </c>
      <c r="J48" s="9">
        <f>J22-C22</f>
        <v>0</v>
      </c>
      <c r="K48" s="3">
        <f>K22-C22</f>
        <v>3</v>
      </c>
      <c r="L48" s="9">
        <f>L22-C22</f>
        <v>9</v>
      </c>
    </row>
    <row r="49" spans="3:12" x14ac:dyDescent="0.25">
      <c r="C49" s="16" t="s">
        <v>5</v>
      </c>
      <c r="D49" s="10">
        <f>D23-C23</f>
        <v>0</v>
      </c>
      <c r="E49" s="1">
        <f>E23-C23</f>
        <v>0</v>
      </c>
      <c r="F49" s="10">
        <f>F23-C23</f>
        <v>0</v>
      </c>
      <c r="G49" s="1">
        <f>G23-C23</f>
        <v>0</v>
      </c>
      <c r="H49" s="10">
        <f>H23-C23</f>
        <v>0</v>
      </c>
      <c r="I49" s="10">
        <f>I23-C23</f>
        <v>-1</v>
      </c>
      <c r="J49" s="10">
        <f>J23-C23</f>
        <v>-2</v>
      </c>
      <c r="K49" s="25">
        <f>K23-C23</f>
        <v>-3</v>
      </c>
      <c r="L49" s="10">
        <f t="shared" ref="L49:L51" si="20">L23-C23</f>
        <v>-4</v>
      </c>
    </row>
    <row r="50" spans="3:12" x14ac:dyDescent="0.25">
      <c r="C50" s="16" t="s">
        <v>4</v>
      </c>
      <c r="D50" s="10">
        <f>D24-C24</f>
        <v>-0.58000000000000007</v>
      </c>
      <c r="E50" s="1">
        <f>E24-C24</f>
        <v>-0.18999999999999995</v>
      </c>
      <c r="F50" s="10">
        <f>F24-C24</f>
        <v>0.54900000000000038</v>
      </c>
      <c r="G50" s="1">
        <f>G24-C24</f>
        <v>-1.1819999999999999</v>
      </c>
      <c r="H50" s="10">
        <f>H24-C24</f>
        <v>0</v>
      </c>
      <c r="I50" s="10">
        <f>I24-C24</f>
        <v>-0.59399999999999986</v>
      </c>
      <c r="J50" s="10">
        <f>J24-C24</f>
        <v>-1.3769999999999998</v>
      </c>
      <c r="K50" s="25">
        <f>K24-C24</f>
        <v>-2.3239999999999998</v>
      </c>
      <c r="L50" s="10">
        <f t="shared" si="20"/>
        <v>-2.081</v>
      </c>
    </row>
    <row r="51" spans="3:12" x14ac:dyDescent="0.25">
      <c r="C51" s="6" t="s">
        <v>20</v>
      </c>
      <c r="D51" s="11">
        <f>D25-C25</f>
        <v>-13.196095157133186</v>
      </c>
      <c r="E51" s="7">
        <f>E25-C25</f>
        <v>-4.5808016769398705</v>
      </c>
      <c r="F51" s="11">
        <f>F25-C25</f>
        <v>14.923441116097251</v>
      </c>
      <c r="G51" s="7">
        <f>G25-C25</f>
        <v>-24.7421706729167</v>
      </c>
      <c r="H51" s="11">
        <f>H25-C25</f>
        <v>0</v>
      </c>
      <c r="I51" s="11">
        <f>I25-C25</f>
        <v>10.770590663436565</v>
      </c>
      <c r="J51" s="11">
        <f>J25-C25</f>
        <v>17.153953677937096</v>
      </c>
      <c r="K51" s="7">
        <f>K25-C25</f>
        <v>18.7872653467779</v>
      </c>
      <c r="L51" s="11">
        <f t="shared" si="20"/>
        <v>68.307027237596202</v>
      </c>
    </row>
    <row r="54" spans="3:12" ht="18.75" x14ac:dyDescent="0.25">
      <c r="C54" s="21" t="s">
        <v>45</v>
      </c>
      <c r="D54" s="2" t="s">
        <v>2</v>
      </c>
      <c r="E54" s="2" t="s">
        <v>1</v>
      </c>
      <c r="F54" s="2" t="s">
        <v>27</v>
      </c>
      <c r="G54" s="2" t="s">
        <v>28</v>
      </c>
      <c r="H54" s="2" t="s">
        <v>30</v>
      </c>
      <c r="I54" s="2" t="s">
        <v>31</v>
      </c>
      <c r="J54" s="2" t="s">
        <v>32</v>
      </c>
      <c r="K54" s="2" t="s">
        <v>33</v>
      </c>
      <c r="L54" s="2" t="s">
        <v>35</v>
      </c>
    </row>
    <row r="55" spans="3:12" ht="15.75" x14ac:dyDescent="0.25">
      <c r="C55" s="22"/>
      <c r="D55" s="20" t="s">
        <v>22</v>
      </c>
      <c r="E55" s="20"/>
      <c r="F55" s="20"/>
      <c r="G55" s="20"/>
      <c r="H55" s="20"/>
      <c r="I55" s="20"/>
      <c r="J55" s="20"/>
      <c r="K55" s="20"/>
      <c r="L55" s="20"/>
    </row>
    <row r="56" spans="3:12" x14ac:dyDescent="0.25">
      <c r="C56" s="17" t="s">
        <v>36</v>
      </c>
      <c r="D56" s="9">
        <f>((D4-$C4)/$C4)*100</f>
        <v>-18.435649023904833</v>
      </c>
      <c r="E56" s="9">
        <f t="shared" ref="E56:L56" si="21">((E4-$C4)/$C4)*100</f>
        <v>-35.582227541156172</v>
      </c>
      <c r="F56" s="9">
        <f t="shared" si="21"/>
        <v>-69.829975862965838</v>
      </c>
      <c r="G56" s="9">
        <f t="shared" si="21"/>
        <v>-35.287029261036132</v>
      </c>
      <c r="H56" s="9">
        <f t="shared" si="21"/>
        <v>0.17798908281521064</v>
      </c>
      <c r="I56" s="9">
        <f t="shared" si="21"/>
        <v>-18.348112148948175</v>
      </c>
      <c r="J56" s="9">
        <f t="shared" si="21"/>
        <v>-4.7910388689480357</v>
      </c>
      <c r="K56" s="9">
        <f t="shared" si="21"/>
        <v>63.173117529499592</v>
      </c>
      <c r="L56" s="9">
        <f t="shared" si="21"/>
        <v>43.401893633662759</v>
      </c>
    </row>
    <row r="57" spans="3:12" x14ac:dyDescent="0.25">
      <c r="C57" s="16" t="s">
        <v>37</v>
      </c>
      <c r="D57" s="10">
        <f t="shared" ref="D57:D64" si="22">((D5-$C5)/$C5)*100</f>
        <v>44.533976647304748</v>
      </c>
      <c r="E57" s="10">
        <f t="shared" ref="E57:L57" si="23">((E5-$C5)/$C5)*100</f>
        <v>-9.5885464674817307</v>
      </c>
      <c r="F57" s="10">
        <f t="shared" si="23"/>
        <v>-84.807098472780623</v>
      </c>
      <c r="G57" s="10">
        <f t="shared" si="23"/>
        <v>-67.989122335392153</v>
      </c>
      <c r="H57" s="10">
        <f t="shared" si="23"/>
        <v>1.8255068319380879E-2</v>
      </c>
      <c r="I57" s="10">
        <f t="shared" si="23"/>
        <v>31.713880824477464</v>
      </c>
      <c r="J57" s="10">
        <f t="shared" si="23"/>
        <v>47.292733141933198</v>
      </c>
      <c r="K57" s="10">
        <f t="shared" si="23"/>
        <v>-34.695768655224043</v>
      </c>
      <c r="L57" s="10">
        <f t="shared" si="23"/>
        <v>-27.175844196344091</v>
      </c>
    </row>
    <row r="58" spans="3:12" x14ac:dyDescent="0.25">
      <c r="C58" s="16" t="s">
        <v>38</v>
      </c>
      <c r="D58" s="10">
        <f t="shared" si="22"/>
        <v>23.779754142979883</v>
      </c>
      <c r="E58" s="10">
        <f t="shared" ref="E58:L58" si="24">((E6-$C6)/$C6)*100</f>
        <v>-4.1243105024289388</v>
      </c>
      <c r="F58" s="10">
        <f t="shared" si="24"/>
        <v>232.65371189335323</v>
      </c>
      <c r="G58" s="10">
        <f t="shared" si="24"/>
        <v>114.87014328483636</v>
      </c>
      <c r="H58" s="10">
        <f t="shared" si="24"/>
        <v>2.5547223948603879</v>
      </c>
      <c r="I58" s="10">
        <f t="shared" si="24"/>
        <v>-9.318023115098212</v>
      </c>
      <c r="J58" s="10">
        <f t="shared" si="24"/>
        <v>8.5413170348358936</v>
      </c>
      <c r="K58" s="10">
        <f t="shared" si="24"/>
        <v>384.59144613835406</v>
      </c>
      <c r="L58" s="10">
        <f t="shared" si="24"/>
        <v>362.35999596209587</v>
      </c>
    </row>
    <row r="59" spans="3:12" x14ac:dyDescent="0.25">
      <c r="C59" s="16" t="s">
        <v>39</v>
      </c>
      <c r="D59" s="10">
        <f t="shared" si="22"/>
        <v>47.144033771028802</v>
      </c>
      <c r="E59" s="10">
        <f t="shared" ref="E59:L59" si="25">((E7-$C7)/$C7)*100</f>
        <v>-23.966723887494993</v>
      </c>
      <c r="F59" s="10">
        <f t="shared" si="25"/>
        <v>53.886518500914882</v>
      </c>
      <c r="G59" s="10">
        <f t="shared" si="25"/>
        <v>128.00170178729215</v>
      </c>
      <c r="H59" s="10">
        <f t="shared" si="25"/>
        <v>0.2113327784458463</v>
      </c>
      <c r="I59" s="10">
        <f t="shared" si="25"/>
        <v>-3.9046308766122064</v>
      </c>
      <c r="J59" s="10">
        <f t="shared" si="25"/>
        <v>13.186784192549087</v>
      </c>
      <c r="K59" s="10">
        <f t="shared" si="25"/>
        <v>16.669612449792055</v>
      </c>
      <c r="L59" s="10">
        <f t="shared" si="25"/>
        <v>1.933098005925262</v>
      </c>
    </row>
    <row r="60" spans="3:12" x14ac:dyDescent="0.25">
      <c r="C60" s="16" t="s">
        <v>40</v>
      </c>
      <c r="D60" s="10">
        <f t="shared" si="22"/>
        <v>75.96781758086874</v>
      </c>
      <c r="E60" s="10">
        <f t="shared" ref="E60:L60" si="26">((E8-$C8)/$C8)*100</f>
        <v>-31.026058615961897</v>
      </c>
      <c r="F60" s="10">
        <f t="shared" si="26"/>
        <v>93.700773718361802</v>
      </c>
      <c r="G60" s="10">
        <f t="shared" si="26"/>
        <v>199.02318489636534</v>
      </c>
      <c r="H60" s="10">
        <f t="shared" si="26"/>
        <v>-0.14294122208613866</v>
      </c>
      <c r="I60" s="10">
        <f t="shared" si="26"/>
        <v>-9.9595015114334409</v>
      </c>
      <c r="J60" s="10">
        <f t="shared" si="26"/>
        <v>6.441768993004418</v>
      </c>
      <c r="K60" s="10">
        <f t="shared" si="26"/>
        <v>5.2948420757547465</v>
      </c>
      <c r="L60" s="10">
        <f t="shared" si="26"/>
        <v>-12.936781631347413</v>
      </c>
    </row>
    <row r="61" spans="3:12" x14ac:dyDescent="0.25">
      <c r="C61" s="16" t="s">
        <v>41</v>
      </c>
      <c r="D61" s="10">
        <f t="shared" si="22"/>
        <v>-9.0317142123497565</v>
      </c>
      <c r="E61" s="10">
        <f t="shared" ref="E61:L61" si="27">((E9-$C9)/$C9)*100</f>
        <v>-35.941321142839868</v>
      </c>
      <c r="F61" s="10">
        <f t="shared" si="27"/>
        <v>-51.773191884360415</v>
      </c>
      <c r="G61" s="10">
        <f t="shared" si="27"/>
        <v>27.687502585921099</v>
      </c>
      <c r="H61" s="10">
        <f t="shared" si="27"/>
        <v>0.43275451861124714</v>
      </c>
      <c r="I61" s="10">
        <f t="shared" si="27"/>
        <v>-5.7176290820840343</v>
      </c>
      <c r="J61" s="10">
        <f t="shared" si="27"/>
        <v>11.572742320958476</v>
      </c>
      <c r="K61" s="10">
        <f t="shared" si="27"/>
        <v>13.31010241669518</v>
      </c>
      <c r="L61" s="10">
        <f t="shared" si="27"/>
        <v>-17.736833278430218</v>
      </c>
    </row>
    <row r="62" spans="3:12" x14ac:dyDescent="0.25">
      <c r="C62" s="16" t="s">
        <v>42</v>
      </c>
      <c r="D62" s="10">
        <f t="shared" si="22"/>
        <v>-6.1062119553996101</v>
      </c>
      <c r="E62" s="10">
        <f t="shared" ref="E62:L62" si="28">((E10-$C10)/$C10)*100</f>
        <v>16.699472858087848</v>
      </c>
      <c r="F62" s="10">
        <f t="shared" si="28"/>
        <v>133.57469157577469</v>
      </c>
      <c r="G62" s="10">
        <f t="shared" si="28"/>
        <v>213.86600774937611</v>
      </c>
      <c r="H62" s="10">
        <f t="shared" si="28"/>
        <v>-1.8867997932835279</v>
      </c>
      <c r="I62" s="10">
        <f t="shared" si="28"/>
        <v>-2.8699969800628463E-4</v>
      </c>
      <c r="J62" s="10">
        <f t="shared" si="28"/>
        <v>-5.0093118646503276</v>
      </c>
      <c r="K62" s="10">
        <f t="shared" si="28"/>
        <v>91.95956952341308</v>
      </c>
      <c r="L62" s="10">
        <f t="shared" si="28"/>
        <v>67.583754005798596</v>
      </c>
    </row>
    <row r="63" spans="3:12" x14ac:dyDescent="0.25">
      <c r="C63" s="16" t="s">
        <v>43</v>
      </c>
      <c r="D63" s="10">
        <f t="shared" si="22"/>
        <v>37.230272296319036</v>
      </c>
      <c r="E63" s="10">
        <f t="shared" ref="E63:L63" si="29">((E11-$C11)/$C11)*100</f>
        <v>-6.8867784064323034</v>
      </c>
      <c r="F63" s="10">
        <f t="shared" si="29"/>
        <v>-36.10269420209714</v>
      </c>
      <c r="G63" s="10">
        <f t="shared" si="29"/>
        <v>22.192452849382104</v>
      </c>
      <c r="H63" s="10">
        <f t="shared" si="29"/>
        <v>0.73837857733366508</v>
      </c>
      <c r="I63" s="10">
        <f t="shared" si="29"/>
        <v>-15.506470320589177</v>
      </c>
      <c r="J63" s="10">
        <f t="shared" si="29"/>
        <v>7.087770802776193</v>
      </c>
      <c r="K63" s="10">
        <f t="shared" si="29"/>
        <v>-21.641136960128545</v>
      </c>
      <c r="L63" s="10">
        <f t="shared" si="29"/>
        <v>-31.148781306585942</v>
      </c>
    </row>
    <row r="64" spans="3:12" x14ac:dyDescent="0.25">
      <c r="C64" s="6" t="s">
        <v>44</v>
      </c>
      <c r="D64" s="11">
        <f t="shared" si="22"/>
        <v>47.144020453505753</v>
      </c>
      <c r="E64" s="11">
        <f t="shared" ref="E64:L64" si="30">((E12-$C12)/$C12)*100</f>
        <v>-23.966727742941849</v>
      </c>
      <c r="F64" s="11">
        <f t="shared" si="30"/>
        <v>39.841645682828201</v>
      </c>
      <c r="G64" s="11">
        <f t="shared" si="30"/>
        <v>110.51248917817915</v>
      </c>
      <c r="H64" s="11">
        <f t="shared" si="30"/>
        <v>0.21132922932416195</v>
      </c>
      <c r="I64" s="11">
        <f t="shared" si="30"/>
        <v>-3.9046344735631631</v>
      </c>
      <c r="J64" s="11">
        <f t="shared" si="30"/>
        <v>13.186777803036081</v>
      </c>
      <c r="K64" s="11">
        <f t="shared" si="30"/>
        <v>16.669612861682875</v>
      </c>
      <c r="L64" s="11">
        <f t="shared" si="30"/>
        <v>1.9330921548320512</v>
      </c>
    </row>
    <row r="65" spans="3:12" ht="15.75" x14ac:dyDescent="0.25">
      <c r="C65" s="12"/>
      <c r="D65" s="20" t="s">
        <v>3</v>
      </c>
      <c r="E65" s="20"/>
      <c r="F65" s="20"/>
      <c r="G65" s="20"/>
      <c r="H65" s="20"/>
      <c r="I65" s="20"/>
      <c r="J65" s="20"/>
      <c r="K65" s="20"/>
      <c r="L65" s="20"/>
    </row>
    <row r="66" spans="3:12" x14ac:dyDescent="0.25">
      <c r="C66" s="17" t="s">
        <v>6</v>
      </c>
      <c r="D66" s="9">
        <f>((D14-$C14)/$C14)*100</f>
        <v>-1.8181818181818181</v>
      </c>
      <c r="E66" s="9">
        <f t="shared" ref="E66:K66" si="31">((E14-$C14)/$C14)*100</f>
        <v>-42.545454545454547</v>
      </c>
      <c r="F66" s="9">
        <f t="shared" si="31"/>
        <v>-21.09090909090909</v>
      </c>
      <c r="G66" s="9">
        <f t="shared" si="31"/>
        <v>64.363636363636374</v>
      </c>
      <c r="H66" s="9">
        <f t="shared" si="31"/>
        <v>0</v>
      </c>
      <c r="I66" s="9">
        <f t="shared" si="31"/>
        <v>0.36363636363636365</v>
      </c>
      <c r="J66" s="9">
        <f t="shared" si="31"/>
        <v>0.36363636363636365</v>
      </c>
      <c r="K66" s="9">
        <f t="shared" si="31"/>
        <v>-32.36363636363636</v>
      </c>
      <c r="L66" s="9">
        <f>((L14-$C14)/$C14)*100</f>
        <v>-32.36363636363636</v>
      </c>
    </row>
    <row r="67" spans="3:12" x14ac:dyDescent="0.25">
      <c r="C67" s="16" t="s">
        <v>7</v>
      </c>
      <c r="D67" s="10">
        <f t="shared" ref="D67:K72" si="32">((D15-$C15)/$C15)*100</f>
        <v>0</v>
      </c>
      <c r="E67" s="10">
        <f t="shared" si="32"/>
        <v>0</v>
      </c>
      <c r="F67" s="10">
        <f t="shared" si="32"/>
        <v>-100</v>
      </c>
      <c r="G67" s="10">
        <f t="shared" si="32"/>
        <v>-100</v>
      </c>
      <c r="H67" s="10">
        <f t="shared" si="32"/>
        <v>0</v>
      </c>
      <c r="I67" s="10">
        <f t="shared" si="32"/>
        <v>0</v>
      </c>
      <c r="J67" s="10">
        <f t="shared" si="32"/>
        <v>0</v>
      </c>
      <c r="K67" s="10">
        <f t="shared" si="32"/>
        <v>0</v>
      </c>
      <c r="L67" s="10">
        <f t="shared" ref="L67" si="33">((L15-$C15)/$C15)*100</f>
        <v>0</v>
      </c>
    </row>
    <row r="68" spans="3:12" x14ac:dyDescent="0.25">
      <c r="C68" s="16" t="s">
        <v>8</v>
      </c>
      <c r="D68" s="10">
        <f t="shared" si="32"/>
        <v>-16.25</v>
      </c>
      <c r="E68" s="10">
        <f t="shared" si="32"/>
        <v>-33.75</v>
      </c>
      <c r="F68" s="10">
        <f t="shared" si="32"/>
        <v>-23.75</v>
      </c>
      <c r="G68" s="10">
        <f t="shared" si="32"/>
        <v>121.24999999999999</v>
      </c>
      <c r="H68" s="10">
        <f t="shared" si="32"/>
        <v>0</v>
      </c>
      <c r="I68" s="10">
        <f t="shared" si="32"/>
        <v>41.25</v>
      </c>
      <c r="J68" s="10">
        <f t="shared" si="32"/>
        <v>41.25</v>
      </c>
      <c r="K68" s="10">
        <f t="shared" si="32"/>
        <v>38.75</v>
      </c>
      <c r="L68" s="10">
        <f t="shared" ref="L68" si="34">((L16-$C16)/$C16)*100</f>
        <v>50.625</v>
      </c>
    </row>
    <row r="69" spans="3:12" x14ac:dyDescent="0.25">
      <c r="C69" s="16" t="s">
        <v>29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</row>
    <row r="70" spans="3:12" x14ac:dyDescent="0.25">
      <c r="C70" s="16" t="s">
        <v>9</v>
      </c>
      <c r="D70" s="10">
        <f t="shared" si="32"/>
        <v>0</v>
      </c>
      <c r="E70" s="10">
        <f t="shared" si="32"/>
        <v>0</v>
      </c>
      <c r="F70" s="10">
        <f t="shared" si="32"/>
        <v>100</v>
      </c>
      <c r="G70" s="10">
        <f t="shared" si="32"/>
        <v>100</v>
      </c>
      <c r="H70" s="10">
        <f t="shared" si="32"/>
        <v>0</v>
      </c>
      <c r="I70" s="10">
        <f t="shared" si="32"/>
        <v>0</v>
      </c>
      <c r="J70" s="10">
        <f t="shared" si="32"/>
        <v>0</v>
      </c>
      <c r="K70" s="10">
        <f t="shared" si="32"/>
        <v>100</v>
      </c>
      <c r="L70" s="10">
        <f t="shared" ref="L70" si="35">((L18-$C18)/$C18)*100</f>
        <v>100</v>
      </c>
    </row>
    <row r="71" spans="3:12" x14ac:dyDescent="0.25">
      <c r="C71" s="16" t="s">
        <v>10</v>
      </c>
      <c r="D71" s="10">
        <f t="shared" si="32"/>
        <v>0</v>
      </c>
      <c r="E71" s="10">
        <f t="shared" si="32"/>
        <v>0</v>
      </c>
      <c r="F71" s="10">
        <f t="shared" si="32"/>
        <v>0</v>
      </c>
      <c r="G71" s="10">
        <f t="shared" si="32"/>
        <v>0</v>
      </c>
      <c r="H71" s="10">
        <f t="shared" si="32"/>
        <v>0</v>
      </c>
      <c r="I71" s="10">
        <f t="shared" si="32"/>
        <v>0</v>
      </c>
      <c r="J71" s="10">
        <f t="shared" si="32"/>
        <v>0</v>
      </c>
      <c r="K71" s="10">
        <f t="shared" si="32"/>
        <v>0</v>
      </c>
      <c r="L71" s="10">
        <f t="shared" ref="L71" si="36">((L19-$C19)/$C19)*100</f>
        <v>0</v>
      </c>
    </row>
    <row r="72" spans="3:12" x14ac:dyDescent="0.25">
      <c r="C72" s="6" t="s">
        <v>11</v>
      </c>
      <c r="D72" s="11">
        <f t="shared" si="32"/>
        <v>0</v>
      </c>
      <c r="E72" s="11">
        <f t="shared" si="32"/>
        <v>0</v>
      </c>
      <c r="F72" s="11">
        <f t="shared" si="32"/>
        <v>0</v>
      </c>
      <c r="G72" s="11">
        <f t="shared" si="32"/>
        <v>0</v>
      </c>
      <c r="H72" s="11">
        <f t="shared" si="32"/>
        <v>0</v>
      </c>
      <c r="I72" s="11">
        <f t="shared" si="32"/>
        <v>0</v>
      </c>
      <c r="J72" s="11">
        <f t="shared" si="32"/>
        <v>0</v>
      </c>
      <c r="K72" s="11">
        <f t="shared" si="32"/>
        <v>0</v>
      </c>
      <c r="L72" s="11">
        <f t="shared" ref="L72" si="37">((L20-$C20)/$C20)*100</f>
        <v>0</v>
      </c>
    </row>
    <row r="73" spans="3:12" ht="15.75" x14ac:dyDescent="0.25">
      <c r="C73" s="18"/>
      <c r="D73" s="20" t="s">
        <v>23</v>
      </c>
      <c r="E73" s="20"/>
      <c r="F73" s="20"/>
      <c r="G73" s="20"/>
      <c r="H73" s="20"/>
      <c r="I73" s="20"/>
      <c r="J73" s="20"/>
      <c r="K73" s="20"/>
      <c r="L73" s="20"/>
    </row>
    <row r="74" spans="3:12" x14ac:dyDescent="0.25">
      <c r="C74" s="17" t="s">
        <v>34</v>
      </c>
      <c r="D74" s="9">
        <f>((D22-$C22)/$C22)*100</f>
        <v>-2.2727272727272729</v>
      </c>
      <c r="E74" s="9">
        <f t="shared" ref="E74:L74" si="38">((E22-$C22)/$C22)*100</f>
        <v>52.272727272727273</v>
      </c>
      <c r="F74" s="9">
        <f t="shared" si="38"/>
        <v>-20.454545454545457</v>
      </c>
      <c r="G74" s="9">
        <f t="shared" si="38"/>
        <v>-43.18181818181818</v>
      </c>
      <c r="H74" s="9">
        <f t="shared" si="38"/>
        <v>0</v>
      </c>
      <c r="I74" s="9">
        <f t="shared" si="38"/>
        <v>13.636363636363635</v>
      </c>
      <c r="J74" s="9">
        <f t="shared" si="38"/>
        <v>0</v>
      </c>
      <c r="K74" s="9">
        <f t="shared" si="38"/>
        <v>6.8181818181818175</v>
      </c>
      <c r="L74" s="9">
        <f t="shared" si="38"/>
        <v>20.454545454545457</v>
      </c>
    </row>
    <row r="75" spans="3:12" x14ac:dyDescent="0.25">
      <c r="C75" s="16" t="s">
        <v>5</v>
      </c>
      <c r="D75" s="10">
        <f t="shared" ref="D75:L77" si="39">((D23-$C23)/$C23)*100</f>
        <v>0</v>
      </c>
      <c r="E75" s="10">
        <f t="shared" si="39"/>
        <v>0</v>
      </c>
      <c r="F75" s="10">
        <f t="shared" si="39"/>
        <v>0</v>
      </c>
      <c r="G75" s="10">
        <f t="shared" si="39"/>
        <v>0</v>
      </c>
      <c r="H75" s="10">
        <f t="shared" si="39"/>
        <v>0</v>
      </c>
      <c r="I75" s="10">
        <f t="shared" si="39"/>
        <v>-10</v>
      </c>
      <c r="J75" s="10">
        <f t="shared" si="39"/>
        <v>-20</v>
      </c>
      <c r="K75" s="10">
        <f t="shared" si="39"/>
        <v>-30</v>
      </c>
      <c r="L75" s="10">
        <f t="shared" si="39"/>
        <v>-40</v>
      </c>
    </row>
    <row r="76" spans="3:12" x14ac:dyDescent="0.25">
      <c r="C76" s="16" t="s">
        <v>4</v>
      </c>
      <c r="D76" s="10">
        <f t="shared" si="39"/>
        <v>-15.873015873015875</v>
      </c>
      <c r="E76" s="10">
        <f t="shared" si="39"/>
        <v>-5.1997810618500262</v>
      </c>
      <c r="F76" s="10">
        <f t="shared" si="39"/>
        <v>15.024630541871931</v>
      </c>
      <c r="G76" s="10">
        <f t="shared" si="39"/>
        <v>-32.348111658456489</v>
      </c>
      <c r="H76" s="10">
        <f t="shared" si="39"/>
        <v>0</v>
      </c>
      <c r="I76" s="10">
        <f t="shared" si="39"/>
        <v>-16.256157635467979</v>
      </c>
      <c r="J76" s="10">
        <f t="shared" si="39"/>
        <v>-37.684729064039402</v>
      </c>
      <c r="K76" s="10">
        <f t="shared" si="39"/>
        <v>-63.601532567049802</v>
      </c>
      <c r="L76" s="10">
        <f t="shared" si="39"/>
        <v>-56.951286261631083</v>
      </c>
    </row>
    <row r="77" spans="3:12" x14ac:dyDescent="0.25">
      <c r="C77" s="6" t="s">
        <v>20</v>
      </c>
      <c r="D77" s="11">
        <f t="shared" si="39"/>
        <v>-8.3742419867167204</v>
      </c>
      <c r="E77" s="11">
        <f t="shared" si="39"/>
        <v>-2.9069767441860419</v>
      </c>
      <c r="F77" s="11">
        <f t="shared" si="39"/>
        <v>9.4704157322753151</v>
      </c>
      <c r="G77" s="11">
        <f t="shared" si="39"/>
        <v>-15.701381509032938</v>
      </c>
      <c r="H77" s="11">
        <f t="shared" si="39"/>
        <v>0</v>
      </c>
      <c r="I77" s="11">
        <f t="shared" si="39"/>
        <v>6.8350168350168437</v>
      </c>
      <c r="J77" s="11">
        <f t="shared" si="39"/>
        <v>10.885899004018881</v>
      </c>
      <c r="K77" s="11">
        <f t="shared" si="39"/>
        <v>11.922398589065256</v>
      </c>
      <c r="L77" s="11">
        <f t="shared" si="39"/>
        <v>43.347639484978551</v>
      </c>
    </row>
  </sheetData>
  <mergeCells count="12">
    <mergeCell ref="D39:L39"/>
    <mergeCell ref="C28:C29"/>
    <mergeCell ref="B2:B3"/>
    <mergeCell ref="D29:L29"/>
    <mergeCell ref="C3:L3"/>
    <mergeCell ref="C13:L13"/>
    <mergeCell ref="C21:L21"/>
    <mergeCell ref="D55:L55"/>
    <mergeCell ref="D65:L65"/>
    <mergeCell ref="D73:L73"/>
    <mergeCell ref="D47:L47"/>
    <mergeCell ref="C54:C55"/>
  </mergeCells>
  <pageMargins left="0.70866141732283472" right="0.70866141732283472" top="0.74803149606299213" bottom="0.74803149606299213" header="0.31496062992125984" footer="0.31496062992125984"/>
  <pageSetup paperSize="9" scale="26" fitToWidth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4CCC6-9E5D-4D26-8D3F-4FD2017DA7D8}">
  <dimension ref="A1"/>
  <sheetViews>
    <sheetView zoomScale="70" zoomScaleNormal="70" workbookViewId="0">
      <selection activeCell="AM49" sqref="AM49:AM5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Data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UBBRIACO</dc:creator>
  <cp:lastModifiedBy>GIORGIO UBBRIACO</cp:lastModifiedBy>
  <cp:lastPrinted>2024-05-02T19:56:46Z</cp:lastPrinted>
  <dcterms:created xsi:type="dcterms:W3CDTF">2024-04-30T21:28:54Z</dcterms:created>
  <dcterms:modified xsi:type="dcterms:W3CDTF">2024-05-02T20:36:05Z</dcterms:modified>
</cp:coreProperties>
</file>