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65723EC1-5E5B-40D9-B5FF-98BE7BE0B49B}" xr6:coauthVersionLast="47" xr6:coauthVersionMax="47" xr10:uidLastSave="{00000000-0000-0000-0000-000000000000}"/>
  <bookViews>
    <workbookView xWindow="-120" yWindow="-120" windowWidth="29040" windowHeight="1572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M13" i="1" s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D12" i="1"/>
  <c r="K10" i="1"/>
  <c r="M10" i="1" s="1"/>
  <c r="J10" i="1"/>
  <c r="I10" i="1"/>
  <c r="H10" i="1"/>
  <c r="G10" i="1"/>
  <c r="F10" i="1"/>
  <c r="E10" i="1"/>
  <c r="K9" i="1"/>
  <c r="M9" i="1" s="1"/>
  <c r="J9" i="1"/>
  <c r="I9" i="1"/>
  <c r="H9" i="1"/>
  <c r="G9" i="1"/>
  <c r="F9" i="1"/>
  <c r="E9" i="1"/>
  <c r="D9" i="1"/>
  <c r="M1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5" i="1"/>
  <c r="K11" i="1"/>
  <c r="M11" i="1" s="1"/>
  <c r="J11" i="1"/>
  <c r="I11" i="1"/>
  <c r="H11" i="1"/>
  <c r="G11" i="1"/>
  <c r="F11" i="1"/>
  <c r="E11" i="1"/>
  <c r="D11" i="1"/>
  <c r="J8" i="1"/>
  <c r="I8" i="1"/>
  <c r="H8" i="1"/>
  <c r="D8" i="1"/>
  <c r="K8" i="1" s="1"/>
  <c r="M8" i="1" s="1"/>
  <c r="G8" i="1"/>
  <c r="F8" i="1"/>
  <c r="E8" i="1"/>
  <c r="J22" i="1"/>
  <c r="I22" i="1"/>
  <c r="H22" i="1"/>
  <c r="F22" i="1"/>
  <c r="E22" i="1"/>
  <c r="K22" i="1" s="1"/>
  <c r="M22" i="1" s="1"/>
  <c r="J21" i="1"/>
  <c r="I21" i="1"/>
  <c r="H21" i="1"/>
  <c r="G21" i="1"/>
  <c r="F21" i="1"/>
  <c r="E21" i="1"/>
  <c r="K21" i="1" s="1"/>
  <c r="M21" i="1" s="1"/>
  <c r="J20" i="1"/>
  <c r="I20" i="1"/>
  <c r="H20" i="1"/>
  <c r="G20" i="1"/>
  <c r="F20" i="1"/>
  <c r="E20" i="1"/>
  <c r="K20" i="1" s="1"/>
  <c r="M20" i="1" s="1"/>
  <c r="J19" i="1"/>
  <c r="I19" i="1"/>
  <c r="H19" i="1"/>
  <c r="G19" i="1"/>
  <c r="F19" i="1"/>
  <c r="E19" i="1"/>
  <c r="K19" i="1" s="1"/>
  <c r="M19" i="1" s="1"/>
  <c r="J18" i="1"/>
  <c r="I18" i="1"/>
  <c r="H18" i="1"/>
  <c r="G18" i="1"/>
  <c r="F18" i="1"/>
  <c r="E18" i="1"/>
  <c r="K18" i="1" s="1"/>
  <c r="M18" i="1" s="1"/>
  <c r="J17" i="1"/>
  <c r="I17" i="1"/>
  <c r="H17" i="1"/>
  <c r="G17" i="1"/>
  <c r="F17" i="1"/>
  <c r="E17" i="1"/>
  <c r="K17" i="1" s="1"/>
  <c r="M17" i="1" s="1"/>
  <c r="J16" i="1"/>
  <c r="I16" i="1"/>
  <c r="H16" i="1"/>
  <c r="K16" i="1" s="1"/>
  <c r="M16" i="1" s="1"/>
  <c r="G16" i="1"/>
  <c r="F16" i="1"/>
  <c r="E16" i="1"/>
  <c r="J15" i="1"/>
  <c r="I15" i="1"/>
  <c r="H15" i="1"/>
  <c r="G15" i="1"/>
  <c r="K15" i="1" s="1"/>
  <c r="M15" i="1" s="1"/>
  <c r="F15" i="1"/>
  <c r="E15" i="1"/>
  <c r="J14" i="1"/>
  <c r="I14" i="1"/>
  <c r="H14" i="1"/>
  <c r="G14" i="1"/>
  <c r="F14" i="1"/>
  <c r="E14" i="1"/>
  <c r="K14" i="1" s="1"/>
  <c r="M14" i="1" s="1"/>
  <c r="J7" i="1"/>
  <c r="I7" i="1"/>
  <c r="H7" i="1"/>
  <c r="G7" i="1"/>
  <c r="F7" i="1"/>
  <c r="E7" i="1"/>
  <c r="K7" i="1" s="1"/>
  <c r="M7" i="1" s="1"/>
  <c r="J6" i="1"/>
  <c r="I6" i="1"/>
  <c r="H6" i="1"/>
  <c r="G6" i="1"/>
  <c r="F6" i="1"/>
  <c r="E6" i="1"/>
  <c r="K6" i="1" s="1"/>
  <c r="M6" i="1" s="1"/>
  <c r="J5" i="1"/>
  <c r="I5" i="1"/>
  <c r="H5" i="1"/>
  <c r="G5" i="1"/>
  <c r="F5" i="1"/>
  <c r="E5" i="1"/>
  <c r="K5" i="1" s="1"/>
  <c r="M5" i="1" s="1"/>
</calcChain>
</file>

<file path=xl/sharedStrings.xml><?xml version="1.0" encoding="utf-8"?>
<sst xmlns="http://schemas.openxmlformats.org/spreadsheetml/2006/main" count="42" uniqueCount="40">
  <si>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</si>
  <si>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</si>
  <si>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</si>
  <si>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</si>
  <si>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</si>
  <si>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</si>
  <si>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</si>
  <si>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</si>
  <si>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</si>
  <si>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</si>
  <si>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</si>
  <si>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</si>
  <si>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</si>
  <si>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</si>
  <si>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</si>
  <si>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</si>
  <si>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</si>
  <si>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</si>
  <si>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</si>
  <si>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</si>
  <si>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</si>
  <si>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</si>
  <si>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</si>
  <si>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</si>
  <si>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</si>
  <si>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</si>
  <si>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</si>
  <si>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</si>
  <si>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</si>
  <si>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</si>
  <si>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</si>
  <si>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</si>
  <si>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Energy Single Operation [pJ]</t>
  </si>
  <si>
    <t>Timing Report</t>
  </si>
  <si>
    <t>Cycles [#]</t>
  </si>
  <si>
    <t>Clock Constraint [ns]</t>
  </si>
  <si>
    <t>WNS [ns]</t>
  </si>
  <si>
    <t>Maximum Clock Frequency [MHz]</t>
  </si>
  <si>
    <t>Loop Pipelining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</si>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</sst>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Data!$D$5:$D$22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1.2408513575792299</c:v>
                </c:pt>
                <c:pt idx="5">
                  <c:v>0</c:v>
                </c:pt>
                <c:pt idx="6">
                  <c:v>1.32976192981005</c:v>
                </c:pt>
                <c:pt idx="7">
                  <c:v>1.23103871010244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Data!$E$5:$E$22</c:f>
              <c:numCache>
                <c:formatCode>General</c:formatCode>
                <c:ptCount val="18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8.2524631579872193E-2</c:v>
                </c:pt>
                <c:pt idx="5">
                  <c:v>0.32527020084671698</c:v>
                </c:pt>
                <c:pt idx="6">
                  <c:v>0.38262590533122398</c:v>
                </c:pt>
                <c:pt idx="7">
                  <c:v>0.10697833204176301</c:v>
                </c:pt>
                <c:pt idx="8">
                  <c:v>0.32862459192983801</c:v>
                </c:pt>
                <c:pt idx="9">
                  <c:v>0.45503594446927298</c:v>
                </c:pt>
                <c:pt idx="10">
                  <c:v>0.370885303709656</c:v>
                </c:pt>
                <c:pt idx="11">
                  <c:v>0.43246525456197599</c:v>
                </c:pt>
                <c:pt idx="12">
                  <c:v>0.74117712210863795</c:v>
                </c:pt>
                <c:pt idx="13">
                  <c:v>0.65137079218402505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7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Data!$F$5:$F$22</c:f>
              <c:numCache>
                <c:formatCode>General</c:formatCode>
                <c:ptCount val="18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0.96068286802619696</c:v>
                </c:pt>
                <c:pt idx="5">
                  <c:v>2.3528356105089201</c:v>
                </c:pt>
                <c:pt idx="6">
                  <c:v>0.253616715781391</c:v>
                </c:pt>
                <c:pt idx="7">
                  <c:v>0.97222707699984301</c:v>
                </c:pt>
                <c:pt idx="8">
                  <c:v>2.5603906251490098</c:v>
                </c:pt>
                <c:pt idx="9">
                  <c:v>1.2157068122178301</c:v>
                </c:pt>
                <c:pt idx="10">
                  <c:v>1.60096236504614</c:v>
                </c:pt>
                <c:pt idx="11">
                  <c:v>1.7903209663927602</c:v>
                </c:pt>
                <c:pt idx="12">
                  <c:v>0.79376308713108301</c:v>
                </c:pt>
                <c:pt idx="13">
                  <c:v>0.88516663527116202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7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Data!$G$5:$G$22</c:f>
              <c:numCache>
                <c:formatCode>General</c:formatCode>
                <c:ptCount val="18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0.27235542074777203</c:v>
                </c:pt>
                <c:pt idx="5">
                  <c:v>0.26371504645794597</c:v>
                </c:pt>
                <c:pt idx="6">
                  <c:v>0.92103349743410901</c:v>
                </c:pt>
                <c:pt idx="7">
                  <c:v>0.24706596741452802</c:v>
                </c:pt>
                <c:pt idx="8">
                  <c:v>0.29804851510562003</c:v>
                </c:pt>
                <c:pt idx="9">
                  <c:v>0.34357042750343703</c:v>
                </c:pt>
                <c:pt idx="10">
                  <c:v>0.30379532836377598</c:v>
                </c:pt>
                <c:pt idx="11">
                  <c:v>0.36362622631713698</c:v>
                </c:pt>
                <c:pt idx="12">
                  <c:v>1.62343855481595</c:v>
                </c:pt>
                <c:pt idx="13">
                  <c:v>1.5489605721086301</c:v>
                </c:pt>
                <c:pt idx="14">
                  <c:v>0.27879772824235299</c:v>
                </c:pt>
                <c:pt idx="15">
                  <c:v>0.24706084514036802</c:v>
                </c:pt>
                <c:pt idx="16">
                  <c:v>1.18907087016851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Data!$H$5:$H$22</c:f>
              <c:numCache>
                <c:formatCode>General</c:formatCode>
                <c:ptCount val="18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0.26666201301850401</c:v>
                </c:pt>
                <c:pt idx="5">
                  <c:v>0.57519110850989796</c:v>
                </c:pt>
                <c:pt idx="6">
                  <c:v>0.54354930762201503</c:v>
                </c:pt>
                <c:pt idx="7">
                  <c:v>0.25889289099723101</c:v>
                </c:pt>
                <c:pt idx="8">
                  <c:v>1.14636321086437</c:v>
                </c:pt>
                <c:pt idx="9">
                  <c:v>0.92546828091144606</c:v>
                </c:pt>
                <c:pt idx="10">
                  <c:v>0.868793693371117</c:v>
                </c:pt>
                <c:pt idx="11">
                  <c:v>1.02812109980732</c:v>
                </c:pt>
                <c:pt idx="12">
                  <c:v>1.0441305348649599</c:v>
                </c:pt>
                <c:pt idx="13">
                  <c:v>0.75803906656801701</c:v>
                </c:pt>
                <c:pt idx="14">
                  <c:v>0.88814075570553497</c:v>
                </c:pt>
                <c:pt idx="15">
                  <c:v>0.72020455263554994</c:v>
                </c:pt>
                <c:pt idx="16">
                  <c:v>1.38780823908746</c:v>
                </c:pt>
                <c:pt idx="17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Data!$I$5:$I$22</c:f>
              <c:numCache>
                <c:formatCode>0.00E+00</c:formatCode>
                <c:ptCount val="18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4.2814699554583101E-3</c:v>
                </c:pt>
                <c:pt idx="5" formatCode="General">
                  <c:v>7.01051294527133E-3</c:v>
                </c:pt>
                <c:pt idx="6" formatCode="General">
                  <c:v>1.0887121788982801E-2</c:v>
                </c:pt>
                <c:pt idx="7" formatCode="General">
                  <c:v>2.58562499766413E-3</c:v>
                </c:pt>
                <c:pt idx="8" formatCode="General">
                  <c:v>3.00649980999879E-3</c:v>
                </c:pt>
                <c:pt idx="9" formatCode="General">
                  <c:v>3.4978299936483399E-3</c:v>
                </c:pt>
                <c:pt idx="10" formatCode="General">
                  <c:v>3.5650859899760698E-3</c:v>
                </c:pt>
                <c:pt idx="11" formatCode="General">
                  <c:v>3.3865094337670598E-3</c:v>
                </c:pt>
                <c:pt idx="12" formatCode="General">
                  <c:v>6.8435433604463504E-3</c:v>
                </c:pt>
                <c:pt idx="13" formatCode="General">
                  <c:v>5.9745220823970201E-3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7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Data!$J$5:$J$22</c:f>
              <c:numCache>
                <c:formatCode>General</c:formatCode>
                <c:ptCount val="18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0.42558953282423301</c:v>
                </c:pt>
                <c:pt idx="5">
                  <c:v>0.75069005833938696</c:v>
                </c:pt>
                <c:pt idx="6">
                  <c:v>0.58537651784718003</c:v>
                </c:pt>
                <c:pt idx="7">
                  <c:v>0.41881192009896001</c:v>
                </c:pt>
                <c:pt idx="8">
                  <c:v>1.32495700381696</c:v>
                </c:pt>
                <c:pt idx="9">
                  <c:v>1.0144955012947299</c:v>
                </c:pt>
                <c:pt idx="10">
                  <c:v>0.85090019274503004</c:v>
                </c:pt>
                <c:pt idx="11">
                  <c:v>1.07843766454607</c:v>
                </c:pt>
                <c:pt idx="12">
                  <c:v>0.78912044409662496</c:v>
                </c:pt>
                <c:pt idx="13">
                  <c:v>0.69337280001491297</c:v>
                </c:pt>
                <c:pt idx="14">
                  <c:v>0.85364980623125997</c:v>
                </c:pt>
                <c:pt idx="15">
                  <c:v>0.68621442187577497</c:v>
                </c:pt>
                <c:pt idx="16">
                  <c:v>1.9081661012023701</c:v>
                </c:pt>
                <c:pt idx="17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Data!$K$5:$K$22</c:f>
              <c:numCache>
                <c:formatCode>General</c:formatCode>
                <c:ptCount val="18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3.2529472937312667</c:v>
                </c:pt>
                <c:pt idx="5">
                  <c:v>4.2747125376081394</c:v>
                </c:pt>
                <c:pt idx="6">
                  <c:v>4.0268509956149519</c:v>
                </c:pt>
                <c:pt idx="7">
                  <c:v>3.2376005226524294</c:v>
                </c:pt>
                <c:pt idx="8">
                  <c:v>5.6613904466757976</c:v>
                </c:pt>
                <c:pt idx="9">
                  <c:v>3.957774796390364</c:v>
                </c:pt>
                <c:pt idx="10">
                  <c:v>3.9989019692256953</c:v>
                </c:pt>
                <c:pt idx="11">
                  <c:v>4.6963577210590302</c:v>
                </c:pt>
                <c:pt idx="12">
                  <c:v>4.9984732863777026</c:v>
                </c:pt>
                <c:pt idx="13">
                  <c:v>4.5428843882291439</c:v>
                </c:pt>
                <c:pt idx="14">
                  <c:v>5.756232178555365</c:v>
                </c:pt>
                <c:pt idx="15">
                  <c:v>6.032943100535701</c:v>
                </c:pt>
                <c:pt idx="16">
                  <c:v>5.4967950745776779</c:v>
                </c:pt>
                <c:pt idx="17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Data!$M$5:$M$22</c:f>
              <c:numCache>
                <c:formatCode>General</c:formatCode>
                <c:ptCount val="18"/>
                <c:pt idx="0">
                  <c:v>3.9368294171708857E-12</c:v>
                </c:pt>
                <c:pt idx="1">
                  <c:v>4.7655462381044427E-12</c:v>
                </c:pt>
                <c:pt idx="2">
                  <c:v>3.2448900142298923E-12</c:v>
                </c:pt>
                <c:pt idx="3">
                  <c:v>3.2035731271662382E-12</c:v>
                </c:pt>
                <c:pt idx="4">
                  <c:v>3.2529472937312669E-12</c:v>
                </c:pt>
                <c:pt idx="5">
                  <c:v>4.2747125376081396E-12</c:v>
                </c:pt>
                <c:pt idx="6">
                  <c:v>4.0268509956149517E-12</c:v>
                </c:pt>
                <c:pt idx="7">
                  <c:v>3.2376005226524293E-12</c:v>
                </c:pt>
                <c:pt idx="8">
                  <c:v>5.661390446675798E-12</c:v>
                </c:pt>
                <c:pt idx="9">
                  <c:v>3.9577747963903639E-12</c:v>
                </c:pt>
                <c:pt idx="10">
                  <c:v>3.5990117723031265E-12</c:v>
                </c:pt>
                <c:pt idx="11">
                  <c:v>3.7570861768472243E-12</c:v>
                </c:pt>
                <c:pt idx="12">
                  <c:v>3.4989313004643919E-12</c:v>
                </c:pt>
                <c:pt idx="13">
                  <c:v>2.7257306329374865E-12</c:v>
                </c:pt>
                <c:pt idx="14">
                  <c:v>2.8781160892776826E-12</c:v>
                </c:pt>
                <c:pt idx="15">
                  <c:v>2.4131772402142805E-12</c:v>
                </c:pt>
                <c:pt idx="16">
                  <c:v>5.4967950745776776E-12</c:v>
                </c:pt>
                <c:pt idx="17">
                  <c:v>1.6281592970699424E-11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Data!$O$5:$O$22</c:f>
              <c:numCache>
                <c:formatCode>General</c:formatCode>
                <c:ptCount val="18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98</c:v>
                </c:pt>
                <c:pt idx="5">
                  <c:v>413</c:v>
                </c:pt>
                <c:pt idx="6">
                  <c:v>159</c:v>
                </c:pt>
                <c:pt idx="7">
                  <c:v>145</c:v>
                </c:pt>
                <c:pt idx="8">
                  <c:v>1145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7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Data!$P$5:$P$22</c:f>
              <c:numCache>
                <c:formatCode>General</c:formatCode>
                <c:ptCount val="1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Data!$Q$5:$Q$22</c:f>
              <c:numCache>
                <c:formatCode>General</c:formatCode>
                <c:ptCount val="18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72</c:v>
                </c:pt>
                <c:pt idx="5">
                  <c:v>843</c:v>
                </c:pt>
                <c:pt idx="6">
                  <c:v>147</c:v>
                </c:pt>
                <c:pt idx="7">
                  <c:v>93</c:v>
                </c:pt>
                <c:pt idx="8">
                  <c:v>864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7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Data!$R$5:$R$22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Data!$S$5:$S$22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Data!$T$5:$T$22</c:f>
              <c:numCache>
                <c:formatCode>General</c:formatCode>
                <c:ptCount val="1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Data!$U$5:$U$22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Data!$W$5:$W$22</c:f>
              <c:numCache>
                <c:formatCode>General</c:formatCode>
                <c:ptCount val="18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57</c:v>
                </c:pt>
                <c:pt idx="5">
                  <c:v>66</c:v>
                </c:pt>
                <c:pt idx="6">
                  <c:v>59</c:v>
                </c:pt>
                <c:pt idx="7">
                  <c:v>61</c:v>
                </c:pt>
                <c:pt idx="8">
                  <c:v>59</c:v>
                </c:pt>
                <c:pt idx="9">
                  <c:v>44</c:v>
                </c:pt>
                <c:pt idx="10">
                  <c:v>50</c:v>
                </c:pt>
                <c:pt idx="11">
                  <c:v>44</c:v>
                </c:pt>
                <c:pt idx="12">
                  <c:v>47</c:v>
                </c:pt>
                <c:pt idx="13">
                  <c:v>53</c:v>
                </c:pt>
                <c:pt idx="14">
                  <c:v>44</c:v>
                </c:pt>
                <c:pt idx="15">
                  <c:v>53</c:v>
                </c:pt>
                <c:pt idx="16">
                  <c:v>16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Data!$X$5:$X$22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Data!$Y$5:$Y$22</c:f>
              <c:numCache>
                <c:formatCode>General</c:formatCode>
                <c:ptCount val="18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4.33</c:v>
                </c:pt>
                <c:pt idx="5">
                  <c:v>3.4689999999999999</c:v>
                </c:pt>
                <c:pt idx="6">
                  <c:v>4.2569999999999997</c:v>
                </c:pt>
                <c:pt idx="7">
                  <c:v>4.33</c:v>
                </c:pt>
                <c:pt idx="8">
                  <c:v>3.097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7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Data!$B$5:$B$22</c:f>
              <c:strCache>
                <c:ptCount val="18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AXI</c:v>
                </c:pt>
              </c:strCache>
            </c:strRef>
          </c:cat>
          <c:val>
            <c:numRef>
              <c:f>Data!$Z$5:$Z$22</c:f>
              <c:numCache>
                <c:formatCode>General</c:formatCode>
                <c:ptCount val="18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176.3668430335097</c:v>
                </c:pt>
                <c:pt idx="5">
                  <c:v>153.11590874291838</c:v>
                </c:pt>
                <c:pt idx="6">
                  <c:v>174.12502176562771</c:v>
                </c:pt>
                <c:pt idx="7">
                  <c:v>176.3668430335097</c:v>
                </c:pt>
                <c:pt idx="8">
                  <c:v>144.86455164421264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21</xdr:row>
      <xdr:rowOff>42332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0</xdr:row>
      <xdr:rowOff>0</xdr:rowOff>
    </xdr:from>
    <xdr:to>
      <xdr:col>31</xdr:col>
      <xdr:colOff>1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15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5952</xdr:colOff>
      <xdr:row>22</xdr:row>
      <xdr:rowOff>15477</xdr:rowOff>
    </xdr:from>
    <xdr:to>
      <xdr:col>31</xdr:col>
      <xdr:colOff>11906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2"/>
  <sheetViews>
    <sheetView tabSelected="1" zoomScale="90" zoomScaleNormal="90" workbookViewId="0">
      <selection activeCell="Z14" sqref="Z14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4" t="s">
        <v>24</v>
      </c>
      <c r="E2" s="14"/>
      <c r="F2" s="14"/>
      <c r="G2" s="14"/>
      <c r="H2" s="14"/>
      <c r="I2" s="14"/>
      <c r="J2" s="14"/>
      <c r="K2" s="14"/>
      <c r="O2" s="15" t="s">
        <v>27</v>
      </c>
      <c r="P2" s="15"/>
      <c r="Q2" s="15"/>
      <c r="R2" s="15"/>
      <c r="S2" s="15"/>
      <c r="T2" s="15"/>
      <c r="U2" s="15"/>
      <c r="W2" s="15" t="s">
        <v>33</v>
      </c>
      <c r="X2" s="15"/>
      <c r="Y2" s="15"/>
      <c r="Z2" s="15"/>
    </row>
    <row r="3" spans="2:26" ht="18.75" x14ac:dyDescent="0.25">
      <c r="B3" s="13" t="s">
        <v>39</v>
      </c>
      <c r="D3" s="12" t="s">
        <v>31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M3" s="7" t="s">
        <v>32</v>
      </c>
      <c r="O3" s="6" t="s">
        <v>28</v>
      </c>
      <c r="P3" s="7" t="s">
        <v>29</v>
      </c>
      <c r="Q3" s="8" t="s">
        <v>30</v>
      </c>
      <c r="R3" s="7" t="s">
        <v>31</v>
      </c>
      <c r="S3" s="8" t="s">
        <v>19</v>
      </c>
      <c r="T3" s="7" t="s">
        <v>25</v>
      </c>
      <c r="U3" s="9" t="s">
        <v>26</v>
      </c>
      <c r="W3" s="6" t="s">
        <v>34</v>
      </c>
      <c r="X3" s="7" t="s">
        <v>35</v>
      </c>
      <c r="Y3" s="8" t="s">
        <v>36</v>
      </c>
      <c r="Z3" s="7" t="s">
        <v>37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 t="shared" ref="K5:K12" si="0">SUM(D5:J5)</f>
        <v>3.9368294171708857</v>
      </c>
      <c r="M5" s="2">
        <f>(($K5/1000)*$X5*(10^-9))/10</f>
        <v>3.9368294171708857E-12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 t="shared" si="0"/>
        <v>4.7655462381044433</v>
      </c>
      <c r="M6" s="2">
        <f t="shared" ref="M6:M22" si="1">(($K6/1000)*$X6*(10^-9))/10</f>
        <v>4.7655462381044427E-12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2" si="2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 t="shared" si="0"/>
        <v>3.2448900142298922</v>
      </c>
      <c r="M7" s="2">
        <f t="shared" si="1"/>
        <v>3.2448900142298923E-12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2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 t="shared" si="0"/>
        <v>3.203573127166238</v>
      </c>
      <c r="M8" s="2">
        <f t="shared" si="1"/>
        <v>3.2035731271662382E-12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2"/>
        <v>176.3668430335097</v>
      </c>
    </row>
    <row r="9" spans="2:26" ht="15.75" x14ac:dyDescent="0.25">
      <c r="B9" s="3" t="s">
        <v>5</v>
      </c>
      <c r="D9" s="2">
        <f>1000*0.00124085135757923</f>
        <v>1.2408513575792299</v>
      </c>
      <c r="E9" s="4">
        <f>1000*0.0000825246315798722</f>
        <v>8.2524631579872193E-2</v>
      </c>
      <c r="F9" s="2">
        <f>1000*0.000960682868026197</f>
        <v>0.96068286802619696</v>
      </c>
      <c r="G9" s="1">
        <f>1000*0.000272355420747772</f>
        <v>0.27235542074777203</v>
      </c>
      <c r="H9" s="2">
        <f>1000*0.000266662013018504</f>
        <v>0.26666201301850401</v>
      </c>
      <c r="I9" s="1">
        <f>1000*4.28146995545831E-06</f>
        <v>4.2814699554583101E-3</v>
      </c>
      <c r="J9" s="2">
        <f>1000*0.000425589532824233</f>
        <v>0.42558953282423301</v>
      </c>
      <c r="K9" s="5">
        <f>SUM(D9:J9)</f>
        <v>3.2529472937312667</v>
      </c>
      <c r="M9" s="2">
        <f t="shared" si="1"/>
        <v>3.2529472937312669E-12</v>
      </c>
      <c r="O9" s="4">
        <v>98</v>
      </c>
      <c r="P9" s="2">
        <v>0</v>
      </c>
      <c r="Q9" s="1">
        <v>72</v>
      </c>
      <c r="R9" s="2">
        <v>1</v>
      </c>
      <c r="S9" s="1">
        <v>2</v>
      </c>
      <c r="T9" s="2">
        <v>71</v>
      </c>
      <c r="U9" s="5">
        <v>1</v>
      </c>
      <c r="W9" s="4">
        <v>57</v>
      </c>
      <c r="X9" s="2">
        <v>10</v>
      </c>
      <c r="Y9" s="1">
        <v>4.33</v>
      </c>
      <c r="Z9" s="2">
        <f t="shared" si="2"/>
        <v>176.3668430335097</v>
      </c>
    </row>
    <row r="10" spans="2:26" ht="15.75" x14ac:dyDescent="0.25">
      <c r="B10" s="3" t="s">
        <v>6</v>
      </c>
      <c r="D10" s="2">
        <v>0</v>
      </c>
      <c r="E10" s="4">
        <f>1000*0.000325270200846717</f>
        <v>0.32527020084671698</v>
      </c>
      <c r="F10" s="2">
        <f>1000*0.00235283561050892</f>
        <v>2.3528356105089201</v>
      </c>
      <c r="G10" s="1">
        <f>1000*0.000263715046457946</f>
        <v>0.26371504645794597</v>
      </c>
      <c r="H10" s="2">
        <f>1000*0.000575191108509898</f>
        <v>0.57519110850989796</v>
      </c>
      <c r="I10" s="1">
        <f>1000*7.01051294527133E-06</f>
        <v>7.01051294527133E-3</v>
      </c>
      <c r="J10" s="2">
        <f>1000*0.000750690058339387</f>
        <v>0.75069005833938696</v>
      </c>
      <c r="K10" s="5">
        <f>SUM(D10:J10)</f>
        <v>4.2747125376081394</v>
      </c>
      <c r="M10" s="2">
        <f t="shared" si="1"/>
        <v>4.2747125376081396E-12</v>
      </c>
      <c r="O10" s="4">
        <v>413</v>
      </c>
      <c r="P10" s="2">
        <v>0</v>
      </c>
      <c r="Q10" s="1">
        <v>843</v>
      </c>
      <c r="R10" s="2">
        <v>0</v>
      </c>
      <c r="S10" s="1">
        <v>2</v>
      </c>
      <c r="T10" s="2">
        <v>71</v>
      </c>
      <c r="U10" s="5">
        <v>1</v>
      </c>
      <c r="W10" s="4">
        <v>66</v>
      </c>
      <c r="X10" s="2">
        <v>10</v>
      </c>
      <c r="Y10" s="1">
        <v>3.4689999999999999</v>
      </c>
      <c r="Z10" s="2">
        <f t="shared" si="2"/>
        <v>153.11590874291838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 t="shared" si="0"/>
        <v>4.0268509956149519</v>
      </c>
      <c r="M11" s="2">
        <f t="shared" si="1"/>
        <v>4.0268509956149517E-12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2"/>
        <v>174.12502176562771</v>
      </c>
    </row>
    <row r="12" spans="2:26" ht="15.75" x14ac:dyDescent="0.25">
      <c r="B12" s="3" t="s">
        <v>7</v>
      </c>
      <c r="D12" s="2">
        <f>1000*0.00123103871010244</f>
        <v>1.23103871010244</v>
      </c>
      <c r="E12" s="4">
        <f>1000*0.000106978332041763</f>
        <v>0.10697833204176301</v>
      </c>
      <c r="F12" s="2">
        <f>1000*0.000972227076999843</f>
        <v>0.97222707699984301</v>
      </c>
      <c r="G12" s="1">
        <f>1000*0.000247065967414528</f>
        <v>0.24706596741452802</v>
      </c>
      <c r="H12" s="2">
        <f>1000*0.000258892890997231</f>
        <v>0.25889289099723101</v>
      </c>
      <c r="I12" s="1">
        <f>1000*2.58562499766413E-06</f>
        <v>2.58562499766413E-3</v>
      </c>
      <c r="J12" s="2">
        <f>1000*0.00041881192009896</f>
        <v>0.41881192009896001</v>
      </c>
      <c r="K12" s="5">
        <f>SUM(D12:J12)</f>
        <v>3.2376005226524294</v>
      </c>
      <c r="M12" s="2">
        <f t="shared" si="1"/>
        <v>3.2376005226524293E-12</v>
      </c>
      <c r="O12" s="4">
        <v>145</v>
      </c>
      <c r="P12" s="2">
        <v>0</v>
      </c>
      <c r="Q12" s="1">
        <v>93</v>
      </c>
      <c r="R12" s="2">
        <v>1</v>
      </c>
      <c r="S12" s="1">
        <v>2</v>
      </c>
      <c r="T12" s="2">
        <v>71</v>
      </c>
      <c r="U12" s="5">
        <v>1</v>
      </c>
      <c r="W12" s="4">
        <v>61</v>
      </c>
      <c r="X12" s="2">
        <v>10</v>
      </c>
      <c r="Y12" s="1">
        <v>4.33</v>
      </c>
      <c r="Z12" s="2">
        <f t="shared" si="2"/>
        <v>176.3668430335097</v>
      </c>
    </row>
    <row r="13" spans="2:26" ht="15.75" x14ac:dyDescent="0.25">
      <c r="B13" s="3" t="s">
        <v>8</v>
      </c>
      <c r="D13" s="2">
        <v>0</v>
      </c>
      <c r="E13" s="4">
        <f>1000*0.000328624591929838</f>
        <v>0.32862459192983801</v>
      </c>
      <c r="F13" s="2">
        <f>1000*0.00256039062514901</f>
        <v>2.5603906251490098</v>
      </c>
      <c r="G13" s="1">
        <f>1000*0.00029804851510562</f>
        <v>0.29804851510562003</v>
      </c>
      <c r="H13" s="2">
        <f>1000*0.00114636321086437</f>
        <v>1.14636321086437</v>
      </c>
      <c r="I13" s="1">
        <f>1000*3.00649980999879E-06</f>
        <v>3.00649980999879E-3</v>
      </c>
      <c r="J13" s="2">
        <f>1000*0.00132495700381696</f>
        <v>1.32495700381696</v>
      </c>
      <c r="K13" s="5">
        <f>SUM(D13:J13)</f>
        <v>5.6613904466757976</v>
      </c>
      <c r="M13" s="2">
        <f t="shared" si="1"/>
        <v>5.661390446675798E-12</v>
      </c>
      <c r="O13" s="4">
        <v>1145</v>
      </c>
      <c r="P13" s="2">
        <v>0</v>
      </c>
      <c r="Q13" s="1">
        <v>864</v>
      </c>
      <c r="R13" s="2">
        <v>0</v>
      </c>
      <c r="S13" s="1">
        <v>2</v>
      </c>
      <c r="T13" s="2">
        <v>71</v>
      </c>
      <c r="U13" s="5">
        <v>1</v>
      </c>
      <c r="W13" s="4">
        <v>59</v>
      </c>
      <c r="X13" s="2">
        <v>10</v>
      </c>
      <c r="Y13" s="1">
        <v>3.097</v>
      </c>
      <c r="Z13" s="2">
        <f t="shared" si="2"/>
        <v>144.86455164421264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ref="K14:K21" si="3">SUM(D14:J14)</f>
        <v>3.957774796390364</v>
      </c>
      <c r="M14" s="2">
        <f t="shared" si="1"/>
        <v>3.9577747963903639E-12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2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1000*0.000370885303709656</f>
        <v>0.370885303709656</v>
      </c>
      <c r="F15" s="2">
        <f>1000*0.00160096236504614</f>
        <v>1.60096236504614</v>
      </c>
      <c r="G15" s="1">
        <f>1000*0.000303795328363776</f>
        <v>0.30379532836377598</v>
      </c>
      <c r="H15" s="2">
        <f>1000*0.000868793693371117</f>
        <v>0.868793693371117</v>
      </c>
      <c r="I15" s="1">
        <f>1000*3.56508598997607E-06</f>
        <v>3.5650859899760698E-3</v>
      </c>
      <c r="J15" s="2">
        <f>1000*0.00085090019274503</f>
        <v>0.85090019274503004</v>
      </c>
      <c r="K15" s="5">
        <f t="shared" si="3"/>
        <v>3.9989019692256953</v>
      </c>
      <c r="M15" s="2">
        <f t="shared" si="1"/>
        <v>3.5990117723031265E-12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50</v>
      </c>
      <c r="X15" s="2">
        <v>9</v>
      </c>
      <c r="Y15" s="1">
        <v>3.06</v>
      </c>
      <c r="Z15" s="2">
        <f t="shared" si="2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1000*0.000363626226317137</f>
        <v>0.36362622631713698</v>
      </c>
      <c r="H16" s="2">
        <f>1000*0.00102812109980732</f>
        <v>1.02812109980732</v>
      </c>
      <c r="I16" s="1">
        <f>1000*3.38650943376706E-06</f>
        <v>3.3865094337670598E-3</v>
      </c>
      <c r="J16" s="2">
        <f>1000*0.00107843766454607</f>
        <v>1.07843766454607</v>
      </c>
      <c r="K16" s="5">
        <f t="shared" si="3"/>
        <v>4.6963577210590302</v>
      </c>
      <c r="M16" s="2">
        <f t="shared" si="1"/>
        <v>3.7570861768472243E-12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44</v>
      </c>
      <c r="X16" s="2">
        <v>8</v>
      </c>
      <c r="Y16" s="1">
        <v>2.2770000000000001</v>
      </c>
      <c r="Z16" s="2">
        <f t="shared" si="2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1000*0.000741177122108638</f>
        <v>0.74117712210863795</v>
      </c>
      <c r="F17" s="2">
        <f>1000*0.000793763087131083</f>
        <v>0.79376308713108301</v>
      </c>
      <c r="G17" s="1">
        <f>1000*0.00162343855481595</f>
        <v>1.62343855481595</v>
      </c>
      <c r="H17" s="2">
        <f>1000*0.00104413053486496</f>
        <v>1.0441305348649599</v>
      </c>
      <c r="I17" s="1">
        <f>1000*6.84354336044635E-06</f>
        <v>6.8435433604463504E-3</v>
      </c>
      <c r="J17" s="2">
        <f>1000*0.000789120444096625</f>
        <v>0.78912044409662496</v>
      </c>
      <c r="K17" s="5">
        <f t="shared" si="3"/>
        <v>4.9984732863777026</v>
      </c>
      <c r="M17" s="2">
        <f t="shared" si="1"/>
        <v>3.4989313004643919E-12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47</v>
      </c>
      <c r="X17" s="2">
        <v>7</v>
      </c>
      <c r="Y17" s="1">
        <v>1.33</v>
      </c>
      <c r="Z17" s="2">
        <f t="shared" si="2"/>
        <v>176.3668430335097</v>
      </c>
    </row>
    <row r="18" spans="2:26" ht="15.75" x14ac:dyDescent="0.25">
      <c r="B18" s="3" t="s">
        <v>13</v>
      </c>
      <c r="D18" s="2">
        <v>0</v>
      </c>
      <c r="E18" s="4">
        <f>1000*0.000651370792184025</f>
        <v>0.65137079218402505</v>
      </c>
      <c r="F18" s="2">
        <f>1000*0.000885166635271162</f>
        <v>0.88516663527116202</v>
      </c>
      <c r="G18" s="1">
        <f>1000*0.00154896057210863</f>
        <v>1.5489605721086301</v>
      </c>
      <c r="H18" s="2">
        <f>1000*0.000758039066568017</f>
        <v>0.75803906656801701</v>
      </c>
      <c r="I18" s="1">
        <f>1000*5.97452208239702E-06</f>
        <v>5.9745220823970201E-3</v>
      </c>
      <c r="J18" s="2">
        <f>1000*0.000693372800014913</f>
        <v>0.69337280001491297</v>
      </c>
      <c r="K18" s="5">
        <f t="shared" si="3"/>
        <v>4.5428843882291439</v>
      </c>
      <c r="M18" s="2">
        <f t="shared" si="1"/>
        <v>2.7257306329374865E-12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53</v>
      </c>
      <c r="X18" s="2">
        <v>6</v>
      </c>
      <c r="Y18" s="1">
        <v>1.573</v>
      </c>
      <c r="Z18" s="2">
        <f t="shared" si="2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1000*0.000278797728242353</f>
        <v>0.27879772824235299</v>
      </c>
      <c r="H19" s="2">
        <f>1000*0.000888140755705535</f>
        <v>0.88814075570553497</v>
      </c>
      <c r="I19" s="1">
        <f>1000*4.53235816166853E-06</f>
        <v>4.5323581616685303E-3</v>
      </c>
      <c r="J19" s="2">
        <f>1000*0.00085364980623126</f>
        <v>0.85364980623125997</v>
      </c>
      <c r="K19" s="5">
        <f t="shared" si="3"/>
        <v>5.756232178555365</v>
      </c>
      <c r="M19" s="2">
        <f t="shared" si="1"/>
        <v>2.8781160892776826E-12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44</v>
      </c>
      <c r="X19" s="2">
        <v>5</v>
      </c>
      <c r="Y19" s="1">
        <v>0.374</v>
      </c>
      <c r="Z19" s="2">
        <f t="shared" si="2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1000*0.000247060845140368</f>
        <v>0.24706084514036802</v>
      </c>
      <c r="H20" s="2">
        <f>1000*0.00072020455263555</f>
        <v>0.72020455263554994</v>
      </c>
      <c r="I20" s="1">
        <f>1000*2.47698403654795E-06</f>
        <v>2.4769840365479502E-3</v>
      </c>
      <c r="J20" s="2">
        <f>1000*0.000686214421875775</f>
        <v>0.68621442187577497</v>
      </c>
      <c r="K20" s="5">
        <f t="shared" si="3"/>
        <v>6.032943100535701</v>
      </c>
      <c r="M20" s="2">
        <f t="shared" si="1"/>
        <v>2.4131772402142805E-12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53</v>
      </c>
      <c r="X20" s="2">
        <v>4</v>
      </c>
      <c r="Y20" s="1">
        <v>0.45400000000000001</v>
      </c>
      <c r="Z20" s="2">
        <f t="shared" si="2"/>
        <v>282.0078962210942</v>
      </c>
    </row>
    <row r="21" spans="2:26" x14ac:dyDescent="0.25">
      <c r="B21" s="2" t="s">
        <v>38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si="3"/>
        <v>5.4967950745776779</v>
      </c>
      <c r="M21" s="2">
        <f t="shared" si="1"/>
        <v>5.4967950745776776E-12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2"/>
        <v>172.65193370165747</v>
      </c>
    </row>
    <row r="22" spans="2:26" ht="15.75" x14ac:dyDescent="0.25">
      <c r="B22" s="3" t="s">
        <v>16</v>
      </c>
      <c r="D22" s="2">
        <v>0</v>
      </c>
      <c r="E22" s="4">
        <f>1000*0.000361682672519237</f>
        <v>0.36168267251923703</v>
      </c>
      <c r="F22" s="2">
        <f>1000*0.00240964675322175</f>
        <v>2.4096467532217498</v>
      </c>
      <c r="G22" s="1">
        <v>0</v>
      </c>
      <c r="H22" s="2">
        <f>1000*0.00796325504779816</f>
        <v>7.9632550477981603</v>
      </c>
      <c r="I22" s="2">
        <f>1000*0.0000082827373262262</f>
        <v>8.2827373262262007E-3</v>
      </c>
      <c r="J22" s="2">
        <f>1000*0.00553872575983405</f>
        <v>5.5387257598340502</v>
      </c>
      <c r="K22" s="5">
        <f>SUM(D22:J22)</f>
        <v>16.281592970699425</v>
      </c>
      <c r="M22" s="2">
        <f t="shared" si="1"/>
        <v>1.6281592970699424E-11</v>
      </c>
      <c r="O22" s="4">
        <v>739</v>
      </c>
      <c r="P22" s="2">
        <v>0</v>
      </c>
      <c r="Q22" s="1">
        <v>699</v>
      </c>
      <c r="R22" s="2">
        <v>0</v>
      </c>
      <c r="S22" s="1">
        <v>0</v>
      </c>
      <c r="T22" s="2">
        <v>93</v>
      </c>
      <c r="U22" s="5">
        <v>1</v>
      </c>
      <c r="W22" s="4">
        <v>11</v>
      </c>
      <c r="X22" s="2">
        <v>10</v>
      </c>
      <c r="Y22" s="1">
        <v>1.369</v>
      </c>
      <c r="Z22" s="2">
        <f t="shared" si="2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90" zoomScaleNormal="90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Dynamic Power Plots</vt:lpstr>
      <vt:lpstr>Utilization Report Plots</vt:lpstr>
      <vt:lpstr>Timing Report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2024-05-26T20:30:17Z</dcterms:modified>
</cp:coreProperties>
</file>