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D9D3442A-242E-4B43-8852-DA2ADB6BF3FE}" xr6:coauthVersionLast="47" xr6:coauthVersionMax="47" xr10:uidLastSave="{00000000-0000-0000-0000-000000000000}"/>
  <bookViews>
    <workbookView xWindow="-120" yWindow="-120" windowWidth="29040" windowHeight="15720" tabRatio="876" xr2:uid="{E7BCC947-1515-412E-876B-4510C27535DC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1" l="1"/>
  <c r="F64" i="1"/>
  <c r="G64" i="1"/>
  <c r="H64" i="1"/>
  <c r="I64" i="1"/>
  <c r="J64" i="1"/>
  <c r="K64" i="1"/>
  <c r="L64" i="1"/>
  <c r="M64" i="1"/>
  <c r="N64" i="1"/>
  <c r="O64" i="1"/>
  <c r="P64" i="1"/>
  <c r="D64" i="1"/>
  <c r="E38" i="1"/>
  <c r="F38" i="1"/>
  <c r="G38" i="1"/>
  <c r="H38" i="1"/>
  <c r="I38" i="1"/>
  <c r="J38" i="1"/>
  <c r="K38" i="1"/>
  <c r="L38" i="1"/>
  <c r="M38" i="1"/>
  <c r="N38" i="1"/>
  <c r="O38" i="1"/>
  <c r="P38" i="1"/>
  <c r="D38" i="1"/>
  <c r="E12" i="1"/>
  <c r="F12" i="1"/>
  <c r="G12" i="1"/>
  <c r="H12" i="1"/>
  <c r="I12" i="1"/>
  <c r="J12" i="1"/>
  <c r="K12" i="1"/>
  <c r="L12" i="1"/>
  <c r="M12" i="1"/>
  <c r="N12" i="1"/>
  <c r="O12" i="1"/>
  <c r="P12" i="1"/>
  <c r="D12" i="1"/>
  <c r="C12" i="1"/>
  <c r="P74" i="1"/>
  <c r="P75" i="1"/>
  <c r="P76" i="1"/>
  <c r="P66" i="1"/>
  <c r="P67" i="1"/>
  <c r="P68" i="1"/>
  <c r="P70" i="1"/>
  <c r="P71" i="1"/>
  <c r="P72" i="1"/>
  <c r="P49" i="1"/>
  <c r="P50" i="1"/>
  <c r="P48" i="1"/>
  <c r="P41" i="1"/>
  <c r="P42" i="1"/>
  <c r="P43" i="1"/>
  <c r="P44" i="1"/>
  <c r="P45" i="1"/>
  <c r="P46" i="1"/>
  <c r="P40" i="1"/>
  <c r="P25" i="1"/>
  <c r="P9" i="1"/>
  <c r="P8" i="1"/>
  <c r="P7" i="1"/>
  <c r="P5" i="1"/>
  <c r="P4" i="1"/>
  <c r="O9" i="1"/>
  <c r="O8" i="1"/>
  <c r="O7" i="1"/>
  <c r="O6" i="1"/>
  <c r="O5" i="1"/>
  <c r="O4" i="1"/>
  <c r="O74" i="1"/>
  <c r="O75" i="1"/>
  <c r="O76" i="1"/>
  <c r="O66" i="1"/>
  <c r="O67" i="1"/>
  <c r="O68" i="1"/>
  <c r="O70" i="1"/>
  <c r="O71" i="1"/>
  <c r="O72" i="1"/>
  <c r="O50" i="1"/>
  <c r="O49" i="1"/>
  <c r="O48" i="1"/>
  <c r="O41" i="1"/>
  <c r="O42" i="1"/>
  <c r="O43" i="1"/>
  <c r="O44" i="1"/>
  <c r="O45" i="1"/>
  <c r="O46" i="1"/>
  <c r="O40" i="1"/>
  <c r="O25" i="1"/>
  <c r="N9" i="1"/>
  <c r="N8" i="1"/>
  <c r="N7" i="1"/>
  <c r="N6" i="1"/>
  <c r="N5" i="1"/>
  <c r="N4" i="1"/>
  <c r="N25" i="1"/>
  <c r="N74" i="1"/>
  <c r="N75" i="1"/>
  <c r="N76" i="1"/>
  <c r="N66" i="1"/>
  <c r="N67" i="1"/>
  <c r="N68" i="1"/>
  <c r="N70" i="1"/>
  <c r="N71" i="1"/>
  <c r="N72" i="1"/>
  <c r="N49" i="1"/>
  <c r="N50" i="1"/>
  <c r="N48" i="1"/>
  <c r="N41" i="1"/>
  <c r="N42" i="1"/>
  <c r="N43" i="1"/>
  <c r="N44" i="1"/>
  <c r="N45" i="1"/>
  <c r="N46" i="1"/>
  <c r="N40" i="1"/>
  <c r="M9" i="1"/>
  <c r="M8" i="1"/>
  <c r="M7" i="1"/>
  <c r="M6" i="1"/>
  <c r="M5" i="1"/>
  <c r="M4" i="1"/>
  <c r="M25" i="1"/>
  <c r="M74" i="1"/>
  <c r="M75" i="1"/>
  <c r="M76" i="1"/>
  <c r="M66" i="1"/>
  <c r="M67" i="1"/>
  <c r="M68" i="1"/>
  <c r="M70" i="1"/>
  <c r="M71" i="1"/>
  <c r="M72" i="1"/>
  <c r="M49" i="1"/>
  <c r="M50" i="1"/>
  <c r="M48" i="1"/>
  <c r="M41" i="1"/>
  <c r="M42" i="1"/>
  <c r="M43" i="1"/>
  <c r="M44" i="1"/>
  <c r="M45" i="1"/>
  <c r="M46" i="1"/>
  <c r="M40" i="1"/>
  <c r="L9" i="1"/>
  <c r="L8" i="1"/>
  <c r="L7" i="1"/>
  <c r="L6" i="1"/>
  <c r="L5" i="1"/>
  <c r="L4" i="1"/>
  <c r="L41" i="1"/>
  <c r="L42" i="1"/>
  <c r="L43" i="1"/>
  <c r="L44" i="1"/>
  <c r="L45" i="1"/>
  <c r="L46" i="1"/>
  <c r="L40" i="1"/>
  <c r="L49" i="1"/>
  <c r="L50" i="1"/>
  <c r="L48" i="1"/>
  <c r="L25" i="1"/>
  <c r="E74" i="1"/>
  <c r="F74" i="1"/>
  <c r="G74" i="1"/>
  <c r="H74" i="1"/>
  <c r="I74" i="1"/>
  <c r="J74" i="1"/>
  <c r="K74" i="1"/>
  <c r="L74" i="1"/>
  <c r="E75" i="1"/>
  <c r="F75" i="1"/>
  <c r="G75" i="1"/>
  <c r="H75" i="1"/>
  <c r="I75" i="1"/>
  <c r="J75" i="1"/>
  <c r="K75" i="1"/>
  <c r="L75" i="1"/>
  <c r="E76" i="1"/>
  <c r="F76" i="1"/>
  <c r="G76" i="1"/>
  <c r="H76" i="1"/>
  <c r="I76" i="1"/>
  <c r="J76" i="1"/>
  <c r="K76" i="1"/>
  <c r="L76" i="1"/>
  <c r="D75" i="1"/>
  <c r="D76" i="1"/>
  <c r="D74" i="1"/>
  <c r="L66" i="1"/>
  <c r="L67" i="1"/>
  <c r="L68" i="1"/>
  <c r="L70" i="1"/>
  <c r="L71" i="1"/>
  <c r="L72" i="1"/>
  <c r="E66" i="1"/>
  <c r="F66" i="1"/>
  <c r="G66" i="1"/>
  <c r="H66" i="1"/>
  <c r="I66" i="1"/>
  <c r="J66" i="1"/>
  <c r="K66" i="1"/>
  <c r="E67" i="1"/>
  <c r="F67" i="1"/>
  <c r="G67" i="1"/>
  <c r="H67" i="1"/>
  <c r="I67" i="1"/>
  <c r="J67" i="1"/>
  <c r="K67" i="1"/>
  <c r="E68" i="1"/>
  <c r="F68" i="1"/>
  <c r="G68" i="1"/>
  <c r="H68" i="1"/>
  <c r="I68" i="1"/>
  <c r="J68" i="1"/>
  <c r="K68" i="1"/>
  <c r="E70" i="1"/>
  <c r="F70" i="1"/>
  <c r="G70" i="1"/>
  <c r="H70" i="1"/>
  <c r="I70" i="1"/>
  <c r="J70" i="1"/>
  <c r="K70" i="1"/>
  <c r="E71" i="1"/>
  <c r="F71" i="1"/>
  <c r="G71" i="1"/>
  <c r="H71" i="1"/>
  <c r="I71" i="1"/>
  <c r="J71" i="1"/>
  <c r="K71" i="1"/>
  <c r="E72" i="1"/>
  <c r="F72" i="1"/>
  <c r="G72" i="1"/>
  <c r="H72" i="1"/>
  <c r="I72" i="1"/>
  <c r="J72" i="1"/>
  <c r="K72" i="1"/>
  <c r="D67" i="1"/>
  <c r="D68" i="1"/>
  <c r="D70" i="1"/>
  <c r="D71" i="1"/>
  <c r="D72" i="1"/>
  <c r="D66" i="1"/>
  <c r="J48" i="1"/>
  <c r="I48" i="1"/>
  <c r="H48" i="1"/>
  <c r="G48" i="1"/>
  <c r="F48" i="1"/>
  <c r="E48" i="1"/>
  <c r="D48" i="1"/>
  <c r="K48" i="1"/>
  <c r="K9" i="1"/>
  <c r="K8" i="1"/>
  <c r="K7" i="1"/>
  <c r="K6" i="1"/>
  <c r="K5" i="1"/>
  <c r="K4" i="1"/>
  <c r="K50" i="1"/>
  <c r="K49" i="1"/>
  <c r="K41" i="1"/>
  <c r="K42" i="1"/>
  <c r="K43" i="1"/>
  <c r="K44" i="1"/>
  <c r="K45" i="1"/>
  <c r="K46" i="1"/>
  <c r="K40" i="1"/>
  <c r="K25" i="1"/>
  <c r="J9" i="1"/>
  <c r="J8" i="1"/>
  <c r="J7" i="1"/>
  <c r="J6" i="1"/>
  <c r="J5" i="1"/>
  <c r="J4" i="1"/>
  <c r="J50" i="1"/>
  <c r="J49" i="1"/>
  <c r="J41" i="1"/>
  <c r="J42" i="1"/>
  <c r="J43" i="1"/>
  <c r="J44" i="1"/>
  <c r="J45" i="1"/>
  <c r="J46" i="1"/>
  <c r="J40" i="1"/>
  <c r="J25" i="1"/>
  <c r="I50" i="1"/>
  <c r="I49" i="1"/>
  <c r="I41" i="1"/>
  <c r="I42" i="1"/>
  <c r="I43" i="1"/>
  <c r="I44" i="1"/>
  <c r="I45" i="1"/>
  <c r="I46" i="1"/>
  <c r="I40" i="1"/>
  <c r="I9" i="1"/>
  <c r="I8" i="1"/>
  <c r="I7" i="1"/>
  <c r="I6" i="1"/>
  <c r="I5" i="1"/>
  <c r="I4" i="1"/>
  <c r="I25" i="1"/>
  <c r="H9" i="1"/>
  <c r="H8" i="1"/>
  <c r="H7" i="1"/>
  <c r="H6" i="1"/>
  <c r="H5" i="1"/>
  <c r="H4" i="1"/>
  <c r="H50" i="1"/>
  <c r="H49" i="1"/>
  <c r="H41" i="1"/>
  <c r="H42" i="1"/>
  <c r="H43" i="1"/>
  <c r="H44" i="1"/>
  <c r="H45" i="1"/>
  <c r="H46" i="1"/>
  <c r="H40" i="1"/>
  <c r="H25" i="1"/>
  <c r="G9" i="1"/>
  <c r="G8" i="1"/>
  <c r="G7" i="1"/>
  <c r="G6" i="1"/>
  <c r="G5" i="1"/>
  <c r="G4" i="1"/>
  <c r="G10" i="1" s="1"/>
  <c r="G50" i="1"/>
  <c r="G49" i="1"/>
  <c r="G41" i="1"/>
  <c r="G42" i="1"/>
  <c r="G43" i="1"/>
  <c r="G44" i="1"/>
  <c r="G45" i="1"/>
  <c r="G46" i="1"/>
  <c r="G40" i="1"/>
  <c r="G25" i="1"/>
  <c r="F50" i="1"/>
  <c r="F49" i="1"/>
  <c r="E50" i="1"/>
  <c r="E49" i="1"/>
  <c r="D50" i="1"/>
  <c r="D49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9" i="1"/>
  <c r="F8" i="1"/>
  <c r="F7" i="1"/>
  <c r="F6" i="1"/>
  <c r="F5" i="1"/>
  <c r="F4" i="1"/>
  <c r="F25" i="1"/>
  <c r="J10" i="1" l="1"/>
  <c r="P10" i="1"/>
  <c r="I59" i="1"/>
  <c r="J58" i="1"/>
  <c r="G59" i="1"/>
  <c r="F57" i="1"/>
  <c r="H58" i="1"/>
  <c r="O10" i="1"/>
  <c r="H10" i="1"/>
  <c r="I10" i="1"/>
  <c r="I31" i="1"/>
  <c r="K10" i="1"/>
  <c r="L10" i="1"/>
  <c r="M10" i="1"/>
  <c r="N10" i="1"/>
  <c r="F10" i="1"/>
  <c r="L57" i="1"/>
  <c r="E25" i="1"/>
  <c r="E9" i="1"/>
  <c r="E8" i="1"/>
  <c r="E7" i="1"/>
  <c r="E6" i="1"/>
  <c r="E5" i="1"/>
  <c r="E4" i="1"/>
  <c r="D9" i="1"/>
  <c r="D61" i="1" s="1"/>
  <c r="D8" i="1"/>
  <c r="D7" i="1"/>
  <c r="D6" i="1"/>
  <c r="D5" i="1"/>
  <c r="D4" i="1"/>
  <c r="D25" i="1"/>
  <c r="C9" i="1"/>
  <c r="H35" i="1" s="1"/>
  <c r="C8" i="1"/>
  <c r="I34" i="1" s="1"/>
  <c r="C7" i="1"/>
  <c r="J33" i="1" s="1"/>
  <c r="C6" i="1"/>
  <c r="K58" i="1" s="1"/>
  <c r="C5" i="1"/>
  <c r="G57" i="1" s="1"/>
  <c r="C4" i="1"/>
  <c r="L30" i="1" s="1"/>
  <c r="C25" i="1"/>
  <c r="M77" i="1" s="1"/>
  <c r="D58" i="1" l="1"/>
  <c r="N77" i="1"/>
  <c r="N32" i="1"/>
  <c r="O57" i="1"/>
  <c r="L51" i="1"/>
  <c r="G32" i="1"/>
  <c r="K31" i="1"/>
  <c r="E77" i="1"/>
  <c r="N57" i="1"/>
  <c r="G58" i="1"/>
  <c r="N30" i="1"/>
  <c r="M57" i="1"/>
  <c r="M58" i="1"/>
  <c r="D60" i="1"/>
  <c r="E61" i="1"/>
  <c r="K30" i="1"/>
  <c r="H60" i="1"/>
  <c r="F33" i="1"/>
  <c r="H33" i="1"/>
  <c r="G33" i="1"/>
  <c r="D59" i="1"/>
  <c r="E60" i="1"/>
  <c r="M33" i="1"/>
  <c r="N61" i="1"/>
  <c r="J30" i="1"/>
  <c r="I35" i="1"/>
  <c r="N35" i="1"/>
  <c r="K61" i="1"/>
  <c r="O31" i="1"/>
  <c r="P59" i="1"/>
  <c r="H57" i="1"/>
  <c r="P61" i="1"/>
  <c r="J57" i="1"/>
  <c r="H59" i="1"/>
  <c r="H34" i="1"/>
  <c r="J35" i="1"/>
  <c r="O60" i="1"/>
  <c r="D77" i="1"/>
  <c r="N51" i="1"/>
  <c r="N59" i="1"/>
  <c r="P30" i="1"/>
  <c r="G30" i="1"/>
  <c r="F34" i="1"/>
  <c r="J60" i="1"/>
  <c r="F60" i="1"/>
  <c r="O34" i="1"/>
  <c r="N60" i="1"/>
  <c r="L77" i="1"/>
  <c r="H77" i="1"/>
  <c r="O51" i="1"/>
  <c r="G77" i="1"/>
  <c r="M35" i="1"/>
  <c r="M61" i="1"/>
  <c r="F30" i="1"/>
  <c r="P56" i="1"/>
  <c r="M30" i="1"/>
  <c r="K56" i="1"/>
  <c r="L56" i="1"/>
  <c r="D56" i="1"/>
  <c r="O33" i="1"/>
  <c r="H30" i="1"/>
  <c r="L35" i="1"/>
  <c r="K33" i="1"/>
  <c r="O56" i="1"/>
  <c r="J61" i="1"/>
  <c r="H61" i="1"/>
  <c r="F59" i="1"/>
  <c r="K34" i="1"/>
  <c r="G34" i="1"/>
  <c r="E56" i="1"/>
  <c r="O59" i="1"/>
  <c r="M56" i="1"/>
  <c r="G60" i="1"/>
  <c r="E57" i="1"/>
  <c r="N56" i="1"/>
  <c r="L31" i="1"/>
  <c r="M60" i="1"/>
  <c r="P57" i="1"/>
  <c r="F32" i="1"/>
  <c r="P32" i="1"/>
  <c r="M32" i="1"/>
  <c r="L58" i="1"/>
  <c r="L32" i="1"/>
  <c r="O32" i="1"/>
  <c r="I32" i="1"/>
  <c r="N58" i="1"/>
  <c r="P58" i="1"/>
  <c r="K32" i="1"/>
  <c r="J32" i="1"/>
  <c r="H32" i="1"/>
  <c r="D57" i="1"/>
  <c r="E58" i="1"/>
  <c r="M51" i="1"/>
  <c r="O30" i="1"/>
  <c r="G56" i="1"/>
  <c r="M59" i="1"/>
  <c r="L59" i="1"/>
  <c r="I56" i="1"/>
  <c r="J31" i="1"/>
  <c r="J56" i="1"/>
  <c r="J34" i="1"/>
  <c r="K59" i="1"/>
  <c r="L60" i="1"/>
  <c r="I58" i="1"/>
  <c r="P33" i="1"/>
  <c r="M34" i="1"/>
  <c r="F35" i="1"/>
  <c r="G35" i="1"/>
  <c r="F61" i="1"/>
  <c r="L61" i="1"/>
  <c r="P77" i="1"/>
  <c r="F31" i="1"/>
  <c r="N31" i="1"/>
  <c r="G31" i="1"/>
  <c r="P31" i="1"/>
  <c r="H31" i="1"/>
  <c r="K57" i="1"/>
  <c r="L33" i="1"/>
  <c r="M31" i="1"/>
  <c r="N33" i="1"/>
  <c r="F56" i="1"/>
  <c r="I60" i="1"/>
  <c r="P34" i="1"/>
  <c r="P35" i="1"/>
  <c r="J59" i="1"/>
  <c r="I33" i="1"/>
  <c r="J77" i="1"/>
  <c r="I77" i="1"/>
  <c r="F77" i="1"/>
  <c r="P60" i="1"/>
  <c r="K35" i="1"/>
  <c r="G61" i="1"/>
  <c r="E59" i="1"/>
  <c r="N34" i="1"/>
  <c r="L34" i="1"/>
  <c r="O61" i="1"/>
  <c r="O58" i="1"/>
  <c r="K60" i="1"/>
  <c r="P51" i="1"/>
  <c r="O35" i="1"/>
  <c r="I57" i="1"/>
  <c r="I30" i="1"/>
  <c r="H56" i="1"/>
  <c r="I61" i="1"/>
  <c r="O77" i="1"/>
  <c r="K77" i="1"/>
  <c r="F58" i="1"/>
  <c r="F51" i="1"/>
  <c r="J51" i="1"/>
  <c r="H51" i="1"/>
  <c r="G51" i="1"/>
  <c r="I51" i="1"/>
  <c r="K51" i="1"/>
  <c r="E35" i="1"/>
  <c r="E51" i="1"/>
  <c r="D51" i="1"/>
  <c r="D35" i="1"/>
  <c r="E32" i="1"/>
  <c r="E30" i="1"/>
  <c r="D31" i="1"/>
  <c r="D30" i="1"/>
  <c r="E31" i="1"/>
  <c r="D32" i="1"/>
  <c r="D33" i="1"/>
  <c r="E33" i="1"/>
  <c r="D34" i="1"/>
  <c r="E34" i="1"/>
  <c r="E10" i="1"/>
  <c r="D10" i="1"/>
  <c r="C10" i="1"/>
  <c r="E62" i="1" l="1"/>
  <c r="F36" i="1"/>
  <c r="P36" i="1"/>
  <c r="P62" i="1"/>
  <c r="G62" i="1"/>
  <c r="I62" i="1"/>
  <c r="G36" i="1"/>
  <c r="I36" i="1"/>
  <c r="K36" i="1"/>
  <c r="N62" i="1"/>
  <c r="K62" i="1"/>
  <c r="J36" i="1"/>
  <c r="L36" i="1"/>
  <c r="J62" i="1"/>
  <c r="F62" i="1"/>
  <c r="M62" i="1"/>
  <c r="L62" i="1"/>
  <c r="O62" i="1"/>
  <c r="O36" i="1"/>
  <c r="N36" i="1"/>
  <c r="M36" i="1"/>
  <c r="H36" i="1"/>
  <c r="H62" i="1"/>
  <c r="D62" i="1"/>
  <c r="D36" i="1"/>
  <c r="E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Giorgio Ubbriaco</author>
  </authors>
  <commentList>
    <comment ref="C28" authorId="0" shapeId="0" xr:uid="{905D979A-D569-4017-8C5E-C99DF3158307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ABSOLUTE_ERROR = SOLUTION - UNOPTIMIZED</t>
        </r>
      </text>
    </comment>
    <comment ref="C54" authorId="0" shapeId="0" xr:uid="{091EFB19-36EE-4D21-BA4C-183860524C78}">
      <text>
        <r>
          <rPr>
            <b/>
            <sz val="9"/>
            <color indexed="81"/>
            <rFont val="Tahoma"/>
            <family val="2"/>
          </rPr>
          <t>Giorgio Ubbriaco: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PERCENTAGE_VARIATION = ((SOLUTION-UNOPTIMIZED) / UNOPTIMIZED) * 100</t>
        </r>
      </text>
    </comment>
  </commentList>
</comments>
</file>

<file path=xl/sharedStrings.xml><?xml version="1.0" encoding="utf-8"?>
<sst xmlns="http://schemas.openxmlformats.org/spreadsheetml/2006/main" count="109" uniqueCount="47">
  <si>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</si>
  <si>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</si>
  <si>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</si>
  <si>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</si>
  <si>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</si>
  <si>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</si>
  <si>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</si>
  <si>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</si>
  <si>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</si>
  <si>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</si>
  <si>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</si>
  <si>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</si>
  <si>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</si>
  <si>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</si>
  <si>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</si>
  <si>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</si>
  <si>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</si>
  <si>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</si>
  <si>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</si>
  <si>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</si>
  <si>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</si>
  <si>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</si>
  <si>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</si>
  <si>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</si>
  <si>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</si>
  <si>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</si>
  <si>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</si>
  <si>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</si>
  <si>
    <t>Operation Chaining Solution CLK=10ns</t>
  </si>
  <si>
    <t>Operation Chaining Solution CLK=9ns</t>
  </si>
  <si>
    <t>Operation Chaining Solution CLK=8ns</t>
  </si>
  <si>
    <t>Operation Chaining Solution CLK=7ns</t>
  </si>
  <si>
    <t>Cycles [#]</t>
  </si>
  <si>
    <t>Operation Chaining Solution CLK=6ns</t>
  </si>
  <si>
    <t>Clock Enable [%]</t>
  </si>
  <si>
    <t>Clocks [%]</t>
  </si>
  <si>
    <t>DSP [%]</t>
  </si>
  <si>
    <t>Logic [%]</t>
  </si>
  <si>
    <t>Set/Reset [%]</t>
  </si>
  <si>
    <t>Data [%]</t>
  </si>
  <si>
    <t>Total [%]</t>
  </si>
  <si>
    <t>PERCENTAGE VARIATION</t>
  </si>
  <si>
    <t>Operation Chaining Solution CLK=5ns</t>
  </si>
  <si>
    <t>Operation Chaining Solution CLK=4ns</t>
  </si>
  <si>
    <t>Loop Pipelining Solution</t>
  </si>
  <si>
    <t>AXI Solution</t>
  </si>
  <si>
    <t>Energy Single Operation [pJ]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</si>
</sst>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Data!$C$4:$P$4</c:f>
              <c:numCache>
                <c:formatCode>General</c:formatCode>
                <c:ptCount val="14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  <c:pt idx="8">
                  <c:v>0.74117712210863795</c:v>
                </c:pt>
                <c:pt idx="9">
                  <c:v>0.65137079218402505</c:v>
                </c:pt>
                <c:pt idx="10">
                  <c:v>0.55694882757961806</c:v>
                </c:pt>
                <c:pt idx="11">
                  <c:v>0.57213963009417101</c:v>
                </c:pt>
                <c:pt idx="12">
                  <c:v>0.350732821971178</c:v>
                </c:pt>
                <c:pt idx="13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Data!$B$5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Data!$C$5:$P$5</c:f>
              <c:numCache>
                <c:formatCode>General</c:formatCode>
                <c:ptCount val="14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  <c:pt idx="8">
                  <c:v>0.79376308713108301</c:v>
                </c:pt>
                <c:pt idx="9">
                  <c:v>0.88516663527116202</c:v>
                </c:pt>
                <c:pt idx="10">
                  <c:v>3.1741627026349302</c:v>
                </c:pt>
                <c:pt idx="11">
                  <c:v>3.8048466667532899</c:v>
                </c:pt>
                <c:pt idx="12">
                  <c:v>0.64228387782350205</c:v>
                </c:pt>
                <c:pt idx="13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Data!$B$6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Data!$C$6:$P$6</c:f>
              <c:numCache>
                <c:formatCode>General</c:formatCode>
                <c:ptCount val="14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  <c:pt idx="8">
                  <c:v>1.62343855481595</c:v>
                </c:pt>
                <c:pt idx="9">
                  <c:v>1.5489605721086301</c:v>
                </c:pt>
                <c:pt idx="10">
                  <c:v>0.27879772824235299</c:v>
                </c:pt>
                <c:pt idx="11">
                  <c:v>0.24706084514036802</c:v>
                </c:pt>
                <c:pt idx="12">
                  <c:v>1.18907087016851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5"/>
          <c:order val="3"/>
          <c:tx>
            <c:strRef>
              <c:f>Data!$B$7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Data!$C$7:$P$7</c:f>
              <c:numCache>
                <c:formatCode>General</c:formatCode>
                <c:ptCount val="14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  <c:pt idx="8">
                  <c:v>1.0441305348649599</c:v>
                </c:pt>
                <c:pt idx="9">
                  <c:v>0.75803906656801701</c:v>
                </c:pt>
                <c:pt idx="10">
                  <c:v>0.88814075570553497</c:v>
                </c:pt>
                <c:pt idx="11">
                  <c:v>0.72020455263554994</c:v>
                </c:pt>
                <c:pt idx="12">
                  <c:v>1.38780823908746</c:v>
                </c:pt>
                <c:pt idx="13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4"/>
          <c:tx>
            <c:strRef>
              <c:f>Data!$B$8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Data!$C$8:$P$8</c:f>
              <c:numCache>
                <c:formatCode>0.00E+00</c:formatCode>
                <c:ptCount val="14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  <c:pt idx="8" formatCode="General">
                  <c:v>6.8435433604463504E-3</c:v>
                </c:pt>
                <c:pt idx="9" formatCode="General">
                  <c:v>5.9745220823970201E-3</c:v>
                </c:pt>
                <c:pt idx="10" formatCode="General">
                  <c:v>4.5323581616685303E-3</c:v>
                </c:pt>
                <c:pt idx="11" formatCode="General">
                  <c:v>2.4769840365479502E-3</c:v>
                </c:pt>
                <c:pt idx="12" formatCode="General">
                  <c:v>1.8733164324657998E-2</c:v>
                </c:pt>
                <c:pt idx="13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5"/>
          <c:tx>
            <c:strRef>
              <c:f>Data!$B$9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Data!$C$9:$P$9</c:f>
              <c:numCache>
                <c:formatCode>General</c:formatCode>
                <c:ptCount val="14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  <c:pt idx="8">
                  <c:v>0.78912044409662496</c:v>
                </c:pt>
                <c:pt idx="9">
                  <c:v>0.69337280001491297</c:v>
                </c:pt>
                <c:pt idx="10">
                  <c:v>0.85364980623125997</c:v>
                </c:pt>
                <c:pt idx="11">
                  <c:v>0.68621442187577497</c:v>
                </c:pt>
                <c:pt idx="12">
                  <c:v>1.9081661012023701</c:v>
                </c:pt>
                <c:pt idx="13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6"/>
          <c:tx>
            <c:strRef>
              <c:f>Data!$B$10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Data!$C$10:$P$10</c:f>
              <c:numCache>
                <c:formatCode>General</c:formatCode>
                <c:ptCount val="14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2.5323489280708631</c:v>
                </c:pt>
                <c:pt idx="4">
                  <c:v>3.8212277459024295</c:v>
                </c:pt>
                <c:pt idx="5">
                  <c:v>3.957774796390364</c:v>
                </c:pt>
                <c:pt idx="6">
                  <c:v>3.9989019692256953</c:v>
                </c:pt>
                <c:pt idx="7">
                  <c:v>4.6963577210590302</c:v>
                </c:pt>
                <c:pt idx="8">
                  <c:v>4.9984732863777026</c:v>
                </c:pt>
                <c:pt idx="9">
                  <c:v>4.5428843882291439</c:v>
                </c:pt>
                <c:pt idx="10">
                  <c:v>5.756232178555365</c:v>
                </c:pt>
                <c:pt idx="11">
                  <c:v>6.032943100535701</c:v>
                </c:pt>
                <c:pt idx="12">
                  <c:v>5.4967950745776779</c:v>
                </c:pt>
                <c:pt idx="13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Data!$D$30:$P$30</c:f>
              <c:numCache>
                <c:formatCode>General</c:formatCode>
                <c:ptCount val="13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  <c:pt idx="7">
                  <c:v>0.28694965294562297</c:v>
                </c:pt>
                <c:pt idx="8">
                  <c:v>0.19714332302101006</c:v>
                </c:pt>
                <c:pt idx="9">
                  <c:v>0.10272135841660307</c:v>
                </c:pt>
                <c:pt idx="10">
                  <c:v>0.11791216093115603</c:v>
                </c:pt>
                <c:pt idx="11">
                  <c:v>-0.10349464719183699</c:v>
                </c:pt>
                <c:pt idx="12">
                  <c:v>-9.254479664377796E-2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Data!$C$31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Data!$D$31:$P$31</c:f>
              <c:numCache>
                <c:formatCode>General</c:formatCode>
                <c:ptCount val="13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  <c:pt idx="7">
                  <c:v>-0.42172183748334691</c:v>
                </c:pt>
                <c:pt idx="8">
                  <c:v>-0.3303182893432679</c:v>
                </c:pt>
                <c:pt idx="9">
                  <c:v>1.9586777780205002</c:v>
                </c:pt>
                <c:pt idx="10">
                  <c:v>2.5893617421388599</c:v>
                </c:pt>
                <c:pt idx="11">
                  <c:v>-0.57320104679092787</c:v>
                </c:pt>
                <c:pt idx="12">
                  <c:v>1.1941618286073199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Data!$C$32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Data!$D$32:$P$32</c:f>
              <c:numCache>
                <c:formatCode>General</c:formatCode>
                <c:ptCount val="13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  <c:pt idx="7">
                  <c:v>1.288426748942586</c:v>
                </c:pt>
                <c:pt idx="8">
                  <c:v>1.2139487662352662</c:v>
                </c:pt>
                <c:pt idx="9">
                  <c:v>-5.6214077631010995E-2</c:v>
                </c:pt>
                <c:pt idx="10">
                  <c:v>-8.7950960732995964E-2</c:v>
                </c:pt>
                <c:pt idx="11">
                  <c:v>0.854059064295146</c:v>
                </c:pt>
                <c:pt idx="12">
                  <c:v>-0.33501180587336399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5"/>
          <c:order val="3"/>
          <c:tx>
            <c:strRef>
              <c:f>Data!$C$33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Data!$D$33:$P$33</c:f>
              <c:numCache>
                <c:formatCode>General</c:formatCode>
                <c:ptCount val="13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  <c:pt idx="7">
                  <c:v>0.12265000259503489</c:v>
                </c:pt>
                <c:pt idx="8">
                  <c:v>-0.16344146570190798</c:v>
                </c:pt>
                <c:pt idx="9">
                  <c:v>-3.3339776564390022E-2</c:v>
                </c:pt>
                <c:pt idx="10">
                  <c:v>-0.20127597963437505</c:v>
                </c:pt>
                <c:pt idx="11">
                  <c:v>0.46632770681753499</c:v>
                </c:pt>
                <c:pt idx="12">
                  <c:v>7.0417745155282354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4"/>
          <c:tx>
            <c:strRef>
              <c:f>Data!$C$34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Data!$D$34:$P$34</c:f>
              <c:numCache>
                <c:formatCode>General</c:formatCode>
                <c:ptCount val="13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  <c:pt idx="7">
                  <c:v>3.2784471386548904E-3</c:v>
                </c:pt>
                <c:pt idx="8">
                  <c:v>2.4094258606055601E-3</c:v>
                </c:pt>
                <c:pt idx="9">
                  <c:v>9.6726193987707034E-4</c:v>
                </c:pt>
                <c:pt idx="10">
                  <c:v>-1.0881121852435098E-3</c:v>
                </c:pt>
                <c:pt idx="11">
                  <c:v>1.5168068102866538E-2</c:v>
                </c:pt>
                <c:pt idx="12">
                  <c:v>4.7176411044347402E-3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5"/>
          <c:tx>
            <c:strRef>
              <c:f>Data!$C$35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Data!$D$35:$P$35</c:f>
              <c:numCache>
                <c:formatCode>General</c:formatCode>
                <c:ptCount val="13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  <c:pt idx="7">
                  <c:v>-0.21793914493173505</c:v>
                </c:pt>
                <c:pt idx="8">
                  <c:v>-0.31368678901344704</c:v>
                </c:pt>
                <c:pt idx="9">
                  <c:v>-0.15340978279710005</c:v>
                </c:pt>
                <c:pt idx="10">
                  <c:v>-0.32084516715258504</c:v>
                </c:pt>
                <c:pt idx="11">
                  <c:v>0.90110651217401005</c:v>
                </c:pt>
                <c:pt idx="12">
                  <c:v>4.53166617080569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6"/>
          <c:tx>
            <c:strRef>
              <c:f>Data!$C$36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Data!$D$36:$P$36</c:f>
              <c:numCache>
                <c:formatCode>General</c:formatCode>
                <c:ptCount val="13"/>
                <c:pt idx="0">
                  <c:v>0.82871682093355759</c:v>
                </c:pt>
                <c:pt idx="1">
                  <c:v>-0.69193940294099354</c:v>
                </c:pt>
                <c:pt idx="2">
                  <c:v>-1.4044804891000227</c:v>
                </c:pt>
                <c:pt idx="3">
                  <c:v>-0.11560167126845622</c:v>
                </c:pt>
                <c:pt idx="4">
                  <c:v>2.0945379219478255E-2</c:v>
                </c:pt>
                <c:pt idx="5">
                  <c:v>6.2072552054809549E-2</c:v>
                </c:pt>
                <c:pt idx="6">
                  <c:v>0.75952830388814441</c:v>
                </c:pt>
                <c:pt idx="7">
                  <c:v>1.0616438692068169</c:v>
                </c:pt>
                <c:pt idx="8">
                  <c:v>0.60605497105825812</c:v>
                </c:pt>
                <c:pt idx="9">
                  <c:v>1.8194027613844792</c:v>
                </c:pt>
                <c:pt idx="10">
                  <c:v>2.0961136833648153</c:v>
                </c:pt>
                <c:pt idx="11">
                  <c:v>1.5599656574067922</c:v>
                </c:pt>
                <c:pt idx="12">
                  <c:v>12.344763553528539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Data!$C$14:$P$14</c:f>
              <c:numCache>
                <c:formatCode>General</c:formatCode>
                <c:ptCount val="14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  <c:pt idx="8">
                  <c:v>186</c:v>
                </c:pt>
                <c:pt idx="9">
                  <c:v>186</c:v>
                </c:pt>
                <c:pt idx="10">
                  <c:v>186</c:v>
                </c:pt>
                <c:pt idx="11">
                  <c:v>188</c:v>
                </c:pt>
                <c:pt idx="12">
                  <c:v>311</c:v>
                </c:pt>
                <c:pt idx="13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Data!$B$15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Data!$C$15:$P$15</c:f>
              <c:numCache>
                <c:formatCode>General</c:formatCode>
                <c:ptCount val="1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Data!$B$16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Data!$C$16:$P$16</c:f>
              <c:numCache>
                <c:formatCode>General</c:formatCode>
                <c:ptCount val="14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  <c:pt idx="8">
                  <c:v>222</c:v>
                </c:pt>
                <c:pt idx="9">
                  <c:v>241</c:v>
                </c:pt>
                <c:pt idx="10">
                  <c:v>258</c:v>
                </c:pt>
                <c:pt idx="11">
                  <c:v>376</c:v>
                </c:pt>
                <c:pt idx="12">
                  <c:v>458</c:v>
                </c:pt>
                <c:pt idx="13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Data!$B$17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Data!$C$17:$P$17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Data!$B$18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Data!$C$18:$P$18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Data!$B$19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Data!$C$19:$P$19</c:f>
              <c:numCache>
                <c:formatCode>General</c:formatCode>
                <c:ptCount val="14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Data!$B$20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Data!$C$20:$P$20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Data!$D$40:$P$40</c:f>
              <c:numCache>
                <c:formatCode>General</c:formatCode>
                <c:ptCount val="13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-89</c:v>
                </c:pt>
                <c:pt idx="8">
                  <c:v>-89</c:v>
                </c:pt>
                <c:pt idx="9">
                  <c:v>-89</c:v>
                </c:pt>
                <c:pt idx="10">
                  <c:v>-87</c:v>
                </c:pt>
                <c:pt idx="11">
                  <c:v>36</c:v>
                </c:pt>
                <c:pt idx="12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Data!$C$41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Data!$D$41:$P$41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-32</c:v>
                </c:pt>
                <c:pt idx="12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Data!$C$42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Data!$D$42:$P$42</c:f>
              <c:numCache>
                <c:formatCode>General</c:formatCode>
                <c:ptCount val="13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  <c:pt idx="7">
                  <c:v>62</c:v>
                </c:pt>
                <c:pt idx="8">
                  <c:v>81</c:v>
                </c:pt>
                <c:pt idx="9">
                  <c:v>98</c:v>
                </c:pt>
                <c:pt idx="10">
                  <c:v>216</c:v>
                </c:pt>
                <c:pt idx="11">
                  <c:v>298</c:v>
                </c:pt>
                <c:pt idx="12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Data!$C$43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Data!$D$43:$P$43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Data!$C$44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Data!$D$44:$P$44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Data!$C$45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Data!$D$45:$P$45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Data!$C$46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Data!$D$28:$P$28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Data!$D$46:$P$46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Data!$C$56</c:f>
              <c:strCache>
                <c:ptCount val="1"/>
                <c:pt idx="0">
                  <c:v>Clock Enable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Data!$D$56:$P$56</c:f>
              <c:numCache>
                <c:formatCode>General</c:formatCode>
                <c:ptCount val="13"/>
                <c:pt idx="0">
                  <c:v>-18.435649023904833</c:v>
                </c:pt>
                <c:pt idx="1">
                  <c:v>-35.582227541156172</c:v>
                </c:pt>
                <c:pt idx="2">
                  <c:v>-69.829975862965838</c:v>
                </c:pt>
                <c:pt idx="3">
                  <c:v>-35.287029261036132</c:v>
                </c:pt>
                <c:pt idx="4">
                  <c:v>0.17798908281521064</c:v>
                </c:pt>
                <c:pt idx="5">
                  <c:v>-18.348112148948175</c:v>
                </c:pt>
                <c:pt idx="6">
                  <c:v>-4.7910388689480357</c:v>
                </c:pt>
                <c:pt idx="7">
                  <c:v>63.173117529499592</c:v>
                </c:pt>
                <c:pt idx="8">
                  <c:v>43.401893633662759</c:v>
                </c:pt>
                <c:pt idx="9">
                  <c:v>22.614519242062396</c:v>
                </c:pt>
                <c:pt idx="10">
                  <c:v>25.958835371279417</c:v>
                </c:pt>
                <c:pt idx="11">
                  <c:v>-22.784761868880814</c:v>
                </c:pt>
                <c:pt idx="12">
                  <c:v>-20.374108332617176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F-48F0-8505-1AC2411F0824}"/>
            </c:ext>
          </c:extLst>
        </c:ser>
        <c:ser>
          <c:idx val="1"/>
          <c:order val="1"/>
          <c:tx>
            <c:strRef>
              <c:f>Data!$C$57</c:f>
              <c:strCache>
                <c:ptCount val="1"/>
                <c:pt idx="0">
                  <c:v>Clocks [%]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Data!$D$57:$P$57</c:f>
              <c:numCache>
                <c:formatCode>General</c:formatCode>
                <c:ptCount val="13"/>
                <c:pt idx="0">
                  <c:v>44.533976647304748</c:v>
                </c:pt>
                <c:pt idx="1">
                  <c:v>-9.5885464674817307</c:v>
                </c:pt>
                <c:pt idx="2">
                  <c:v>-84.807098472780623</c:v>
                </c:pt>
                <c:pt idx="3">
                  <c:v>-67.989122335392153</c:v>
                </c:pt>
                <c:pt idx="4">
                  <c:v>1.8255068319380879E-2</c:v>
                </c:pt>
                <c:pt idx="5">
                  <c:v>31.713880824477464</c:v>
                </c:pt>
                <c:pt idx="6">
                  <c:v>47.292733141933198</c:v>
                </c:pt>
                <c:pt idx="7">
                  <c:v>-34.695768655224043</c:v>
                </c:pt>
                <c:pt idx="8">
                  <c:v>-27.175844196344091</c:v>
                </c:pt>
                <c:pt idx="9">
                  <c:v>161.14373270748891</c:v>
                </c:pt>
                <c:pt idx="10">
                  <c:v>213.03116885306039</c:v>
                </c:pt>
                <c:pt idx="11">
                  <c:v>-47.158219339722038</c:v>
                </c:pt>
                <c:pt idx="12">
                  <c:v>98.245712836473558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F-48F0-8505-1AC2411F0824}"/>
            </c:ext>
          </c:extLst>
        </c:ser>
        <c:ser>
          <c:idx val="2"/>
          <c:order val="2"/>
          <c:tx>
            <c:strRef>
              <c:f>Data!$C$58</c:f>
              <c:strCache>
                <c:ptCount val="1"/>
                <c:pt idx="0">
                  <c:v>DSP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Data!$D$58:$P$58</c:f>
              <c:numCache>
                <c:formatCode>General</c:formatCode>
                <c:ptCount val="13"/>
                <c:pt idx="0">
                  <c:v>23.779754142979883</c:v>
                </c:pt>
                <c:pt idx="1">
                  <c:v>-4.1243105024289388</c:v>
                </c:pt>
                <c:pt idx="2">
                  <c:v>232.65371189335323</c:v>
                </c:pt>
                <c:pt idx="3">
                  <c:v>114.87014328483636</c:v>
                </c:pt>
                <c:pt idx="4">
                  <c:v>2.5547223948603879</c:v>
                </c:pt>
                <c:pt idx="5">
                  <c:v>-9.318023115098212</c:v>
                </c:pt>
                <c:pt idx="6">
                  <c:v>8.5413170348358936</c:v>
                </c:pt>
                <c:pt idx="7">
                  <c:v>384.59144613835406</c:v>
                </c:pt>
                <c:pt idx="8">
                  <c:v>362.35999596209587</c:v>
                </c:pt>
                <c:pt idx="9">
                  <c:v>-16.779730339491429</c:v>
                </c:pt>
                <c:pt idx="10">
                  <c:v>-26.253092933161238</c:v>
                </c:pt>
                <c:pt idx="11">
                  <c:v>254.93402003211321</c:v>
                </c:pt>
                <c:pt idx="1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F-48F0-8505-1AC2411F0824}"/>
            </c:ext>
          </c:extLst>
        </c:ser>
        <c:ser>
          <c:idx val="5"/>
          <c:order val="3"/>
          <c:tx>
            <c:strRef>
              <c:f>Data!$C$59</c:f>
              <c:strCache>
                <c:ptCount val="1"/>
                <c:pt idx="0">
                  <c:v>Logic [%]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Data!$D$59:$P$59</c:f>
              <c:numCache>
                <c:formatCode>General</c:formatCode>
                <c:ptCount val="13"/>
                <c:pt idx="0">
                  <c:v>-9.0317142123497565</c:v>
                </c:pt>
                <c:pt idx="1">
                  <c:v>-35.941321142839868</c:v>
                </c:pt>
                <c:pt idx="2">
                  <c:v>-51.773191884360415</c:v>
                </c:pt>
                <c:pt idx="3">
                  <c:v>27.687502585921099</c:v>
                </c:pt>
                <c:pt idx="4">
                  <c:v>0.43275451861124714</c:v>
                </c:pt>
                <c:pt idx="5">
                  <c:v>-5.7176290820840343</c:v>
                </c:pt>
                <c:pt idx="6">
                  <c:v>11.572742320958476</c:v>
                </c:pt>
                <c:pt idx="7">
                  <c:v>13.31010241669518</c:v>
                </c:pt>
                <c:pt idx="8">
                  <c:v>-17.736833278430218</c:v>
                </c:pt>
                <c:pt idx="9">
                  <c:v>-3.6180662962311998</c:v>
                </c:pt>
                <c:pt idx="10">
                  <c:v>-21.842673023006004</c:v>
                </c:pt>
                <c:pt idx="11">
                  <c:v>50.606354717967697</c:v>
                </c:pt>
                <c:pt idx="12">
                  <c:v>764.18049746334975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F-48F0-8505-1AC2411F0824}"/>
            </c:ext>
          </c:extLst>
        </c:ser>
        <c:ser>
          <c:idx val="6"/>
          <c:order val="4"/>
          <c:tx>
            <c:strRef>
              <c:f>Data!$C$60</c:f>
              <c:strCache>
                <c:ptCount val="1"/>
                <c:pt idx="0">
                  <c:v>Set/Reset [%]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Data!$D$60:$P$60</c:f>
              <c:numCache>
                <c:formatCode>General</c:formatCode>
                <c:ptCount val="13"/>
                <c:pt idx="0">
                  <c:v>-6.1062119553996101</c:v>
                </c:pt>
                <c:pt idx="1">
                  <c:v>16.699472858087848</c:v>
                </c:pt>
                <c:pt idx="2">
                  <c:v>133.57469157577469</c:v>
                </c:pt>
                <c:pt idx="3">
                  <c:v>213.86600774937611</c:v>
                </c:pt>
                <c:pt idx="4">
                  <c:v>-1.8867997932835279</c:v>
                </c:pt>
                <c:pt idx="5">
                  <c:v>-2.8699969800628463E-4</c:v>
                </c:pt>
                <c:pt idx="6">
                  <c:v>-5.0093118646503276</c:v>
                </c:pt>
                <c:pt idx="7">
                  <c:v>91.95956952341308</c:v>
                </c:pt>
                <c:pt idx="8">
                  <c:v>67.583754005798596</c:v>
                </c:pt>
                <c:pt idx="9">
                  <c:v>27.13143993042133</c:v>
                </c:pt>
                <c:pt idx="10">
                  <c:v>-30.521257142864261</c:v>
                </c:pt>
                <c:pt idx="11">
                  <c:v>425.46027257700734</c:v>
                </c:pt>
                <c:pt idx="12">
                  <c:v>132.32857715307688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F-48F0-8505-1AC2411F0824}"/>
            </c:ext>
          </c:extLst>
        </c:ser>
        <c:ser>
          <c:idx val="7"/>
          <c:order val="5"/>
          <c:tx>
            <c:strRef>
              <c:f>Data!$C$61</c:f>
              <c:strCache>
                <c:ptCount val="1"/>
                <c:pt idx="0">
                  <c:v>Data [%]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Data!$D$61:$P$61</c:f>
              <c:numCache>
                <c:formatCode>General</c:formatCode>
                <c:ptCount val="13"/>
                <c:pt idx="0">
                  <c:v>37.230272296319036</c:v>
                </c:pt>
                <c:pt idx="1">
                  <c:v>-6.8867784064323034</c:v>
                </c:pt>
                <c:pt idx="2">
                  <c:v>-36.10269420209714</c:v>
                </c:pt>
                <c:pt idx="3">
                  <c:v>22.192452849382104</c:v>
                </c:pt>
                <c:pt idx="4">
                  <c:v>0.73837857733366508</c:v>
                </c:pt>
                <c:pt idx="5">
                  <c:v>-15.506470320589177</c:v>
                </c:pt>
                <c:pt idx="6">
                  <c:v>7.087770802776193</c:v>
                </c:pt>
                <c:pt idx="7">
                  <c:v>-21.641136960128545</c:v>
                </c:pt>
                <c:pt idx="8">
                  <c:v>-31.148781306585942</c:v>
                </c:pt>
                <c:pt idx="9">
                  <c:v>-15.23343647868089</c:v>
                </c:pt>
                <c:pt idx="10">
                  <c:v>-31.859601025411582</c:v>
                </c:pt>
                <c:pt idx="11">
                  <c:v>89.478966487318147</c:v>
                </c:pt>
                <c:pt idx="12">
                  <c:v>449.98987350668813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F-48F0-8505-1AC2411F0824}"/>
            </c:ext>
          </c:extLst>
        </c:ser>
        <c:ser>
          <c:idx val="8"/>
          <c:order val="6"/>
          <c:tx>
            <c:strRef>
              <c:f>Data!$C$62</c:f>
              <c:strCache>
                <c:ptCount val="1"/>
                <c:pt idx="0">
                  <c:v>Total [%]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Data!$D$62:$P$62</c:f>
              <c:numCache>
                <c:formatCode>General</c:formatCode>
                <c:ptCount val="13"/>
                <c:pt idx="0">
                  <c:v>21.050361423307397</c:v>
                </c:pt>
                <c:pt idx="1">
                  <c:v>-17.576057522914983</c:v>
                </c:pt>
                <c:pt idx="2">
                  <c:v>-35.67542152002413</c:v>
                </c:pt>
                <c:pt idx="3">
                  <c:v>-2.936415552176268</c:v>
                </c:pt>
                <c:pt idx="4">
                  <c:v>0.53203674835701109</c:v>
                </c:pt>
                <c:pt idx="5">
                  <c:v>1.5767142915584236</c:v>
                </c:pt>
                <c:pt idx="6">
                  <c:v>19.292893427776772</c:v>
                </c:pt>
                <c:pt idx="7">
                  <c:v>26.966976638010987</c:v>
                </c:pt>
                <c:pt idx="8">
                  <c:v>15.394494067100981</c:v>
                </c:pt>
                <c:pt idx="9">
                  <c:v>46.214924971068527</c:v>
                </c:pt>
                <c:pt idx="10">
                  <c:v>53.243700989999724</c:v>
                </c:pt>
                <c:pt idx="11">
                  <c:v>39.624923818208678</c:v>
                </c:pt>
                <c:pt idx="12">
                  <c:v>313.57120782743556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F-48F0-8505-1AC2411F0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478880"/>
        <c:axId val="184472640"/>
      </c:barChart>
      <c:catAx>
        <c:axId val="184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640"/>
        <c:crosses val="autoZero"/>
        <c:auto val="1"/>
        <c:lblAlgn val="ctr"/>
        <c:lblOffset val="100"/>
        <c:noMultiLvlLbl val="0"/>
      </c:catAx>
      <c:valAx>
        <c:axId val="18447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(Percentage Variation)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Data!$C$66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Data!$D$66:$P$66</c:f>
              <c:numCache>
                <c:formatCode>General</c:formatCode>
                <c:ptCount val="13"/>
                <c:pt idx="0">
                  <c:v>-1.8181818181818181</c:v>
                </c:pt>
                <c:pt idx="1">
                  <c:v>-42.545454545454547</c:v>
                </c:pt>
                <c:pt idx="2">
                  <c:v>-21.09090909090909</c:v>
                </c:pt>
                <c:pt idx="3">
                  <c:v>64.363636363636374</c:v>
                </c:pt>
                <c:pt idx="4">
                  <c:v>0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-32.36363636363636</c:v>
                </c:pt>
                <c:pt idx="8">
                  <c:v>-32.36363636363636</c:v>
                </c:pt>
                <c:pt idx="9">
                  <c:v>-32.36363636363636</c:v>
                </c:pt>
                <c:pt idx="10">
                  <c:v>-31.636363636363633</c:v>
                </c:pt>
                <c:pt idx="11">
                  <c:v>13.090909090909092</c:v>
                </c:pt>
                <c:pt idx="12">
                  <c:v>168.72727272727272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3-428B-9358-81C8B6D4B534}"/>
            </c:ext>
          </c:extLst>
        </c:ser>
        <c:ser>
          <c:idx val="1"/>
          <c:order val="1"/>
          <c:tx>
            <c:strRef>
              <c:f>Data!$C$67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Data!$D$67:$P$67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-100</c:v>
                </c:pt>
                <c:pt idx="3">
                  <c:v>-100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-100</c:v>
                </c:pt>
                <c:pt idx="1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3-428B-9358-81C8B6D4B534}"/>
            </c:ext>
          </c:extLst>
        </c:ser>
        <c:ser>
          <c:idx val="2"/>
          <c:order val="2"/>
          <c:tx>
            <c:strRef>
              <c:f>Data!$C$68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Data!$D$68:$P$68</c:f>
              <c:numCache>
                <c:formatCode>General</c:formatCode>
                <c:ptCount val="13"/>
                <c:pt idx="0">
                  <c:v>-16.25</c:v>
                </c:pt>
                <c:pt idx="1">
                  <c:v>-33.75</c:v>
                </c:pt>
                <c:pt idx="2">
                  <c:v>-23.75</c:v>
                </c:pt>
                <c:pt idx="3">
                  <c:v>121.24999999999999</c:v>
                </c:pt>
                <c:pt idx="4">
                  <c:v>0</c:v>
                </c:pt>
                <c:pt idx="5">
                  <c:v>41.25</c:v>
                </c:pt>
                <c:pt idx="6">
                  <c:v>41.25</c:v>
                </c:pt>
                <c:pt idx="7">
                  <c:v>38.75</c:v>
                </c:pt>
                <c:pt idx="8">
                  <c:v>50.625</c:v>
                </c:pt>
                <c:pt idx="9">
                  <c:v>61.250000000000007</c:v>
                </c:pt>
                <c:pt idx="10">
                  <c:v>135</c:v>
                </c:pt>
                <c:pt idx="11">
                  <c:v>186.25</c:v>
                </c:pt>
                <c:pt idx="12">
                  <c:v>336.875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3-428B-9358-81C8B6D4B534}"/>
            </c:ext>
          </c:extLst>
        </c:ser>
        <c:ser>
          <c:idx val="3"/>
          <c:order val="3"/>
          <c:tx>
            <c:strRef>
              <c:f>Data!$C$69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Data!$D$69:$P$69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3-428B-9358-81C8B6D4B534}"/>
            </c:ext>
          </c:extLst>
        </c:ser>
        <c:ser>
          <c:idx val="4"/>
          <c:order val="4"/>
          <c:tx>
            <c:strRef>
              <c:f>Data!$C$70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Data!$D$70:$P$70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0</c:v>
                </c:pt>
                <c:pt idx="1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3-428B-9358-81C8B6D4B534}"/>
            </c:ext>
          </c:extLst>
        </c:ser>
        <c:ser>
          <c:idx val="5"/>
          <c:order val="5"/>
          <c:tx>
            <c:strRef>
              <c:f>Data!$C$71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Data!$D$71:$P$71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30.985915492957744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3-428B-9358-81C8B6D4B534}"/>
            </c:ext>
          </c:extLst>
        </c:ser>
        <c:ser>
          <c:idx val="6"/>
          <c:order val="6"/>
          <c:tx>
            <c:strRef>
              <c:f>Data!$C$72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Data!$D$54:$P$54</c:f>
              <c:strCache>
                <c:ptCount val="13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  <c:pt idx="7">
                  <c:v>Operation Chaining Solution CLK=7ns</c:v>
                </c:pt>
                <c:pt idx="8">
                  <c:v>Operation Chaining Solution CLK=6ns</c:v>
                </c:pt>
                <c:pt idx="9">
                  <c:v>Operation Chaining Solution CLK=5ns</c:v>
                </c:pt>
                <c:pt idx="10">
                  <c:v>Operation Chaining Solution CLK=4ns</c:v>
                </c:pt>
                <c:pt idx="11">
                  <c:v>Loop Pipelining Solution</c:v>
                </c:pt>
                <c:pt idx="12">
                  <c:v>AXI Solution</c:v>
                </c:pt>
              </c:strCache>
            </c:strRef>
          </c:cat>
          <c:val>
            <c:numRef>
              <c:f>Data!$D$72:$P$72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3-428B-9358-81C8B6D4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562224"/>
        <c:axId val="1284572304"/>
      </c:barChart>
      <c:catAx>
        <c:axId val="12845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72304"/>
        <c:crosses val="autoZero"/>
        <c:auto val="1"/>
        <c:lblAlgn val="ctr"/>
        <c:lblOffset val="100"/>
        <c:noMultiLvlLbl val="0"/>
      </c:catAx>
      <c:valAx>
        <c:axId val="1284572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Data!$B$22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Data!$C$22:$P$22</c:f>
              <c:numCache>
                <c:formatCode>General</c:formatCode>
                <c:ptCount val="14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35</c:v>
                </c:pt>
                <c:pt idx="4">
                  <c:v>25</c:v>
                </c:pt>
                <c:pt idx="5">
                  <c:v>44</c:v>
                </c:pt>
                <c:pt idx="6">
                  <c:v>50</c:v>
                </c:pt>
                <c:pt idx="7">
                  <c:v>44</c:v>
                </c:pt>
                <c:pt idx="8">
                  <c:v>47</c:v>
                </c:pt>
                <c:pt idx="9">
                  <c:v>53</c:v>
                </c:pt>
                <c:pt idx="10">
                  <c:v>44</c:v>
                </c:pt>
                <c:pt idx="11">
                  <c:v>53</c:v>
                </c:pt>
                <c:pt idx="12">
                  <c:v>16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458-8791-F62A21D5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181584"/>
        <c:axId val="1625205584"/>
      </c:lineChart>
      <c:catAx>
        <c:axId val="16251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05584"/>
        <c:crosses val="autoZero"/>
        <c:auto val="1"/>
        <c:lblAlgn val="ctr"/>
        <c:lblOffset val="100"/>
        <c:noMultiLvlLbl val="0"/>
      </c:catAx>
      <c:valAx>
        <c:axId val="1625205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Data!$B$12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Data!$C$2:$P$2</c:f>
              <c:strCache>
                <c:ptCount val="14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  <c:pt idx="8">
                  <c:v>Operation Chaining Solution CLK=7ns</c:v>
                </c:pt>
                <c:pt idx="9">
                  <c:v>Operation Chaining Solution CLK=6ns</c:v>
                </c:pt>
                <c:pt idx="10">
                  <c:v>Operation Chaining Solution CLK=5ns</c:v>
                </c:pt>
                <c:pt idx="11">
                  <c:v>Operation Chaining Solution CLK=4ns</c:v>
                </c:pt>
                <c:pt idx="12">
                  <c:v>Loop Pipelining Solution</c:v>
                </c:pt>
                <c:pt idx="13">
                  <c:v>AXI Solution</c:v>
                </c:pt>
              </c:strCache>
            </c:strRef>
          </c:cat>
          <c:val>
            <c:numRef>
              <c:f>Data!$C$12:$P$12</c:f>
              <c:numCache>
                <c:formatCode>General</c:formatCode>
                <c:ptCount val="14"/>
                <c:pt idx="0">
                  <c:v>3.9368294171708857E-12</c:v>
                </c:pt>
                <c:pt idx="1">
                  <c:v>4.7655462381044427E-12</c:v>
                </c:pt>
                <c:pt idx="2">
                  <c:v>3.2448900142298923E-12</c:v>
                </c:pt>
                <c:pt idx="3">
                  <c:v>2.5323489280708632E-12</c:v>
                </c:pt>
                <c:pt idx="4">
                  <c:v>3.8212277459024298E-12</c:v>
                </c:pt>
                <c:pt idx="5">
                  <c:v>3.9577747963903639E-12</c:v>
                </c:pt>
                <c:pt idx="6">
                  <c:v>3.5990117723031265E-12</c:v>
                </c:pt>
                <c:pt idx="7">
                  <c:v>3.7570861768472243E-12</c:v>
                </c:pt>
                <c:pt idx="8">
                  <c:v>3.4989313004643919E-12</c:v>
                </c:pt>
                <c:pt idx="9">
                  <c:v>2.7257306329374865E-12</c:v>
                </c:pt>
                <c:pt idx="10">
                  <c:v>2.8781160892776826E-12</c:v>
                </c:pt>
                <c:pt idx="11">
                  <c:v>2.4131772402142805E-12</c:v>
                </c:pt>
                <c:pt idx="12">
                  <c:v>5.4967950745776776E-12</c:v>
                </c:pt>
                <c:pt idx="13">
                  <c:v>1.6281592970699424E-11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0-45FF-A7B1-77ECC9B8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014704"/>
        <c:axId val="838006064"/>
      </c:lineChart>
      <c:catAx>
        <c:axId val="8380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06064"/>
        <c:crosses val="autoZero"/>
        <c:auto val="1"/>
        <c:lblAlgn val="ctr"/>
        <c:lblOffset val="100"/>
        <c:noMultiLvlLbl val="0"/>
      </c:catAx>
      <c:valAx>
        <c:axId val="8380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Single</a:t>
                </a:r>
                <a:r>
                  <a:rPr lang="en-US" baseline="0"/>
                  <a:t> Operation [pJ]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3208</xdr:colOff>
      <xdr:row>79</xdr:row>
      <xdr:rowOff>21782</xdr:rowOff>
    </xdr:from>
    <xdr:to>
      <xdr:col>6</xdr:col>
      <xdr:colOff>1562100</xdr:colOff>
      <xdr:row>98</xdr:row>
      <xdr:rowOff>188843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1797747</xdr:colOff>
      <xdr:row>78</xdr:row>
      <xdr:rowOff>145350</xdr:rowOff>
    </xdr:from>
    <xdr:to>
      <xdr:col>11</xdr:col>
      <xdr:colOff>2438068</xdr:colOff>
      <xdr:row>99</xdr:row>
      <xdr:rowOff>15629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2415559</xdr:colOff>
      <xdr:row>99</xdr:row>
      <xdr:rowOff>109067</xdr:rowOff>
    </xdr:from>
    <xdr:to>
      <xdr:col>6</xdr:col>
      <xdr:colOff>1571623</xdr:colOff>
      <xdr:row>119</xdr:row>
      <xdr:rowOff>92534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1901280</xdr:colOff>
      <xdr:row>99</xdr:row>
      <xdr:rowOff>132445</xdr:rowOff>
    </xdr:from>
    <xdr:to>
      <xdr:col>11</xdr:col>
      <xdr:colOff>2562225</xdr:colOff>
      <xdr:row>119</xdr:row>
      <xdr:rowOff>188703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2819400</xdr:colOff>
      <xdr:row>78</xdr:row>
      <xdr:rowOff>171448</xdr:rowOff>
    </xdr:from>
    <xdr:to>
      <xdr:col>28</xdr:col>
      <xdr:colOff>241155</xdr:colOff>
      <xdr:row>99</xdr:row>
      <xdr:rowOff>1731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FE0C046-66AB-FFC4-07F7-3F50A1C4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2807709</xdr:colOff>
      <xdr:row>100</xdr:row>
      <xdr:rowOff>20349</xdr:rowOff>
    </xdr:from>
    <xdr:to>
      <xdr:col>28</xdr:col>
      <xdr:colOff>244618</xdr:colOff>
      <xdr:row>120</xdr:row>
      <xdr:rowOff>6494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68032EB-8DDB-F0C9-7EC5-8A8C356B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2189731</xdr:colOff>
      <xdr:row>120</xdr:row>
      <xdr:rowOff>15890</xdr:rowOff>
    </xdr:from>
    <xdr:to>
      <xdr:col>6</xdr:col>
      <xdr:colOff>1541318</xdr:colOff>
      <xdr:row>140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69E9A22-AC95-87BC-570B-5E3A6019C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1936749</xdr:colOff>
      <xdr:row>120</xdr:row>
      <xdr:rowOff>49211</xdr:rowOff>
    </xdr:from>
    <xdr:to>
      <xdr:col>10</xdr:col>
      <xdr:colOff>317500</xdr:colOff>
      <xdr:row>140</xdr:row>
      <xdr:rowOff>30162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680CE5C-A6A8-187D-94EF-AD8DBE420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sheetPr>
    <pageSetUpPr fitToPage="1"/>
  </sheetPr>
  <dimension ref="B2:P77"/>
  <sheetViews>
    <sheetView tabSelected="1" topLeftCell="A53" zoomScale="60" zoomScaleNormal="60" workbookViewId="0">
      <selection activeCell="H152" sqref="H152"/>
    </sheetView>
  </sheetViews>
  <sheetFormatPr defaultRowHeight="15" x14ac:dyDescent="0.25"/>
  <cols>
    <col min="1" max="1" width="9.140625" style="1"/>
    <col min="2" max="2" width="33" style="1" bestFit="1" customWidth="1"/>
    <col min="3" max="3" width="34.28515625" style="1" bestFit="1" customWidth="1"/>
    <col min="4" max="4" width="27.5703125" style="1" bestFit="1" customWidth="1"/>
    <col min="5" max="5" width="25.85546875" style="1" bestFit="1" customWidth="1"/>
    <col min="6" max="7" width="38.7109375" style="1" bestFit="1" customWidth="1"/>
    <col min="8" max="8" width="46" style="1" bestFit="1" customWidth="1"/>
    <col min="9" max="14" width="44.5703125" style="1" bestFit="1" customWidth="1"/>
    <col min="15" max="15" width="29" style="1" bestFit="1" customWidth="1"/>
    <col min="16" max="16" width="15" style="1" bestFit="1" customWidth="1"/>
    <col min="17" max="16384" width="9.140625" style="1"/>
  </cols>
  <sheetData>
    <row r="2" spans="2:16" ht="18.75" x14ac:dyDescent="0.25">
      <c r="B2" s="21" t="s">
        <v>23</v>
      </c>
      <c r="C2" s="2" t="s">
        <v>0</v>
      </c>
      <c r="D2" s="2" t="s">
        <v>2</v>
      </c>
      <c r="E2" s="2" t="s">
        <v>1</v>
      </c>
      <c r="F2" s="2" t="s">
        <v>25</v>
      </c>
      <c r="G2" s="2" t="s">
        <v>26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33</v>
      </c>
      <c r="M2" s="2" t="s">
        <v>42</v>
      </c>
      <c r="N2" s="2" t="s">
        <v>43</v>
      </c>
      <c r="O2" s="2" t="s">
        <v>44</v>
      </c>
      <c r="P2" s="2" t="s">
        <v>45</v>
      </c>
    </row>
    <row r="3" spans="2:16" ht="15.75" x14ac:dyDescent="0.25">
      <c r="B3" s="22"/>
      <c r="C3" s="20" t="s">
        <v>20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2:16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  <c r="H4" s="9">
        <f>1000*0.000455035944469273</f>
        <v>0.45503594446927298</v>
      </c>
      <c r="I4" s="9">
        <f>1000*0.000370885303709656</f>
        <v>0.370885303709656</v>
      </c>
      <c r="J4" s="9">
        <f>1000*0.000432465254561976</f>
        <v>0.43246525456197599</v>
      </c>
      <c r="K4" s="9">
        <f>1000*0.000741177122108638</f>
        <v>0.74117712210863795</v>
      </c>
      <c r="L4" s="9">
        <f>1000*0.000651370792184025</f>
        <v>0.65137079218402505</v>
      </c>
      <c r="M4" s="9">
        <f>1000*0.000556948827579618</f>
        <v>0.55694882757961806</v>
      </c>
      <c r="N4" s="9">
        <f>1000*0.000572139630094171</f>
        <v>0.57213963009417101</v>
      </c>
      <c r="O4" s="9">
        <f>1000*0.000350732821971178</f>
        <v>0.350732821971178</v>
      </c>
      <c r="P4" s="9">
        <f>1000*0.000361682672519237</f>
        <v>0.36168267251923703</v>
      </c>
    </row>
    <row r="5" spans="2:16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  <c r="H5" s="10">
        <f>1000*0.00121570681221783</f>
        <v>1.2157068122178301</v>
      </c>
      <c r="I5" s="10">
        <f>1000*0.00160096236504614</f>
        <v>1.60096236504614</v>
      </c>
      <c r="J5" s="10">
        <f>1000*0.00179032096639276</f>
        <v>1.7903209663927602</v>
      </c>
      <c r="K5" s="10">
        <f>1000*0.000793763087131083</f>
        <v>0.79376308713108301</v>
      </c>
      <c r="L5" s="10">
        <f>1000*0.000885166635271162</f>
        <v>0.88516663527116202</v>
      </c>
      <c r="M5" s="10">
        <f>1000*0.00317416270263493</f>
        <v>3.1741627026349302</v>
      </c>
      <c r="N5" s="10">
        <f>1000*0.00380484666675329</f>
        <v>3.8048466667532899</v>
      </c>
      <c r="O5" s="10">
        <f>1000*0.000642283877823502</f>
        <v>0.64228387782350205</v>
      </c>
      <c r="P5" s="10">
        <f>1000*0.00240964675322175</f>
        <v>2.4096467532217498</v>
      </c>
    </row>
    <row r="6" spans="2:16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  <c r="H6" s="10">
        <f>1000*0.000343570427503437</f>
        <v>0.34357042750343703</v>
      </c>
      <c r="I6" s="10">
        <f>1000*0.000303795328363776</f>
        <v>0.30379532836377598</v>
      </c>
      <c r="J6" s="10">
        <f>1000*0.000363626226317137</f>
        <v>0.36362622631713698</v>
      </c>
      <c r="K6" s="10">
        <f>1000*0.00162343855481595</f>
        <v>1.62343855481595</v>
      </c>
      <c r="L6" s="10">
        <f>1000*0.00154896057210863</f>
        <v>1.5489605721086301</v>
      </c>
      <c r="M6" s="10">
        <f>1000*0.000278797728242353</f>
        <v>0.27879772824235299</v>
      </c>
      <c r="N6" s="10">
        <f>1000*0.000247060845140368</f>
        <v>0.24706084514036802</v>
      </c>
      <c r="O6" s="10">
        <f>1000*0.00118907087016851</f>
        <v>1.18907087016851</v>
      </c>
      <c r="P6" s="10">
        <v>0</v>
      </c>
    </row>
    <row r="7" spans="2:16" x14ac:dyDescent="0.25">
      <c r="B7" s="10" t="s">
        <v>15</v>
      </c>
      <c r="C7" s="1">
        <f>1000*0.000921480532269925</f>
        <v>0.92148053226992499</v>
      </c>
      <c r="D7" s="10">
        <f>1000*0.000838255044072866</f>
        <v>0.838255044072866</v>
      </c>
      <c r="E7" s="5">
        <f>1000*0.000590288254898041</f>
        <v>0.59028825489804104</v>
      </c>
      <c r="F7" s="10">
        <f>1000*0.000444400648120791</f>
        <v>0.444400648120791</v>
      </c>
      <c r="G7" s="10">
        <f>1000*0.00117661547847092</f>
        <v>1.17661547847092</v>
      </c>
      <c r="H7" s="10">
        <f>1000*0.000925468280911446</f>
        <v>0.92546828091144606</v>
      </c>
      <c r="I7" s="10">
        <f>1000*0.000868793693371117</f>
        <v>0.868793693371117</v>
      </c>
      <c r="J7" s="10">
        <f>1000*0.00102812109980732</f>
        <v>1.02812109980732</v>
      </c>
      <c r="K7" s="10">
        <f>1000*0.00104413053486496</f>
        <v>1.0441305348649599</v>
      </c>
      <c r="L7" s="10">
        <f>1000*0.000758039066568017</f>
        <v>0.75803906656801701</v>
      </c>
      <c r="M7" s="10">
        <f>1000*0.000888140755705535</f>
        <v>0.88814075570553497</v>
      </c>
      <c r="N7" s="10">
        <f>1000*0.00072020455263555</f>
        <v>0.72020455263554994</v>
      </c>
      <c r="O7" s="10">
        <f>1000*0.00138780823908746</f>
        <v>1.38780823908746</v>
      </c>
      <c r="P7" s="10">
        <f>1000*0.00796325504779816</f>
        <v>7.9632550477981603</v>
      </c>
    </row>
    <row r="8" spans="2:16" x14ac:dyDescent="0.25">
      <c r="B8" s="10" t="s">
        <v>16</v>
      </c>
      <c r="C8" s="13">
        <f>1000*3.56509622179146E-06</f>
        <v>3.56509622179146E-3</v>
      </c>
      <c r="D8" s="14">
        <f>1000*3.34740389007493E-06</f>
        <v>3.3474038900749301E-3</v>
      </c>
      <c r="E8" s="5">
        <f>1000*4.16044849771424E-06</f>
        <v>4.1604484977142402E-3</v>
      </c>
      <c r="F8" s="10">
        <f>1000*0.000008327162504429</f>
        <v>8.3271625044289994E-3</v>
      </c>
      <c r="G8" s="10">
        <f>1000*0.0000111896251837607</f>
        <v>1.1189625183760699E-2</v>
      </c>
      <c r="H8" s="10">
        <f>1000*3.49782999364834E-06</f>
        <v>3.4978299936483399E-3</v>
      </c>
      <c r="I8" s="10">
        <f>1000*3.56508598997607E-06</f>
        <v>3.5650859899760698E-3</v>
      </c>
      <c r="J8" s="10">
        <f>1000*3.38650943376706E-06</f>
        <v>3.3865094337670598E-3</v>
      </c>
      <c r="K8" s="10">
        <f>1000*6.84354336044635E-06</f>
        <v>6.8435433604463504E-3</v>
      </c>
      <c r="L8" s="10">
        <f>1000*5.97452208239702E-06</f>
        <v>5.9745220823970201E-3</v>
      </c>
      <c r="M8" s="10">
        <f>1000*4.53235816166853E-06</f>
        <v>4.5323581616685303E-3</v>
      </c>
      <c r="N8" s="10">
        <f>1000*2.47698403654795E-06</f>
        <v>2.4769840365479502E-3</v>
      </c>
      <c r="O8" s="10">
        <f>1000*0.000018733164324658</f>
        <v>1.8733164324657998E-2</v>
      </c>
      <c r="P8" s="10">
        <f>1000*0.0000082827373262262</f>
        <v>8.2827373262262007E-3</v>
      </c>
    </row>
    <row r="9" spans="2:16" x14ac:dyDescent="0.25">
      <c r="B9" s="10" t="s">
        <v>17</v>
      </c>
      <c r="C9" s="1">
        <f>1000*0.00100705958902836</f>
        <v>1.00705958902836</v>
      </c>
      <c r="D9" s="10">
        <f>1000*0.00138199061620981</f>
        <v>1.3819906162098099</v>
      </c>
      <c r="E9" s="5">
        <f>1000*0.000937705626711249</f>
        <v>0.93770562671124902</v>
      </c>
      <c r="F9" s="10">
        <f>1000*0.000643483945168555</f>
        <v>0.643483945168555</v>
      </c>
      <c r="G9" s="10">
        <f>1000*0.00123055081348866</f>
        <v>1.23055081348866</v>
      </c>
      <c r="H9" s="10">
        <f>1000*0.00101449550129473</f>
        <v>1.0144955012947299</v>
      </c>
      <c r="I9" s="10">
        <f>1000*0.00085090019274503</f>
        <v>0.85090019274503004</v>
      </c>
      <c r="J9" s="10">
        <f>1000*0.00107843766454607</f>
        <v>1.07843766454607</v>
      </c>
      <c r="K9" s="10">
        <f>1000*0.000789120444096625</f>
        <v>0.78912044409662496</v>
      </c>
      <c r="L9" s="10">
        <f>1000*0.000693372800014913</f>
        <v>0.69337280001491297</v>
      </c>
      <c r="M9" s="10">
        <f>1000*0.00085364980623126</f>
        <v>0.85364980623125997</v>
      </c>
      <c r="N9" s="10">
        <f>1000*0.000686214421875775</f>
        <v>0.68621442187577497</v>
      </c>
      <c r="O9" s="10">
        <f>1000*0.00190816610120237</f>
        <v>1.9081661012023701</v>
      </c>
      <c r="P9" s="10">
        <f>1000*0.00553872575983405</f>
        <v>5.5387257598340502</v>
      </c>
    </row>
    <row r="10" spans="2:16" x14ac:dyDescent="0.25">
      <c r="B10" s="10" t="s">
        <v>19</v>
      </c>
      <c r="C10" s="10">
        <f>SUM(C4:C9)</f>
        <v>3.9368294171708857</v>
      </c>
      <c r="D10" s="10">
        <f>SUM(D4:D9)</f>
        <v>4.7655462381044433</v>
      </c>
      <c r="E10" s="10">
        <f>SUM(E4:E9)</f>
        <v>3.2448900142298922</v>
      </c>
      <c r="F10" s="10">
        <f>SUM(F4:F9)</f>
        <v>2.5323489280708631</v>
      </c>
      <c r="G10" s="10">
        <f>SUM(G4:G9)</f>
        <v>3.8212277459024295</v>
      </c>
      <c r="H10" s="10">
        <f>SUM(H4:H9)</f>
        <v>3.957774796390364</v>
      </c>
      <c r="I10" s="10">
        <f>SUM(I4:I9)</f>
        <v>3.9989019692256953</v>
      </c>
      <c r="J10" s="10">
        <f>SUM(J4:J9)</f>
        <v>4.6963577210590302</v>
      </c>
      <c r="K10" s="10">
        <f>SUM(K4:K9)</f>
        <v>4.9984732863777026</v>
      </c>
      <c r="L10" s="10">
        <f>SUM(L4:L9)</f>
        <v>4.5428843882291439</v>
      </c>
      <c r="M10" s="10">
        <f>SUM(M4:M9)</f>
        <v>5.756232178555365</v>
      </c>
      <c r="N10" s="10">
        <f>SUM(N4:N9)</f>
        <v>6.032943100535701</v>
      </c>
      <c r="O10" s="10">
        <f>SUM(O4:O9)</f>
        <v>5.4967950745776779</v>
      </c>
      <c r="P10" s="10">
        <f>SUM(P4:P9)</f>
        <v>16.281592970699425</v>
      </c>
    </row>
    <row r="11" spans="2:1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2:16" x14ac:dyDescent="0.25">
      <c r="B12" s="26" t="s">
        <v>46</v>
      </c>
      <c r="C12" s="27">
        <f>(((C$10/1000)*C$23*(10^-9)))/10</f>
        <v>3.9368294171708857E-12</v>
      </c>
      <c r="D12" s="27">
        <f>(((D$10/1000)*D$23*(10^-9)))/10</f>
        <v>4.7655462381044427E-12</v>
      </c>
      <c r="E12" s="27">
        <f t="shared" ref="E12:P12" si="0">(((E$10/1000)*E$23*(10^-9)))/10</f>
        <v>3.2448900142298923E-12</v>
      </c>
      <c r="F12" s="27">
        <f t="shared" si="0"/>
        <v>2.5323489280708632E-12</v>
      </c>
      <c r="G12" s="27">
        <f t="shared" si="0"/>
        <v>3.8212277459024298E-12</v>
      </c>
      <c r="H12" s="27">
        <f t="shared" si="0"/>
        <v>3.9577747963903639E-12</v>
      </c>
      <c r="I12" s="27">
        <f t="shared" si="0"/>
        <v>3.5990117723031265E-12</v>
      </c>
      <c r="J12" s="27">
        <f t="shared" si="0"/>
        <v>3.7570861768472243E-12</v>
      </c>
      <c r="K12" s="27">
        <f t="shared" si="0"/>
        <v>3.4989313004643919E-12</v>
      </c>
      <c r="L12" s="27">
        <f t="shared" si="0"/>
        <v>2.7257306329374865E-12</v>
      </c>
      <c r="M12" s="27">
        <f t="shared" si="0"/>
        <v>2.8781160892776826E-12</v>
      </c>
      <c r="N12" s="27">
        <f t="shared" si="0"/>
        <v>2.4131772402142805E-12</v>
      </c>
      <c r="O12" s="27">
        <f t="shared" si="0"/>
        <v>5.4967950745776776E-12</v>
      </c>
      <c r="P12" s="27">
        <f t="shared" si="0"/>
        <v>1.6281592970699424E-11</v>
      </c>
    </row>
    <row r="13" spans="2:16" ht="15.75" x14ac:dyDescent="0.25">
      <c r="B13" s="15"/>
      <c r="C13" s="25" t="s">
        <v>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</row>
    <row r="14" spans="2:16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  <c r="H14" s="9">
        <v>275</v>
      </c>
      <c r="I14" s="9">
        <v>276</v>
      </c>
      <c r="J14" s="9">
        <v>276</v>
      </c>
      <c r="K14" s="9">
        <v>186</v>
      </c>
      <c r="L14" s="9">
        <v>186</v>
      </c>
      <c r="M14" s="9">
        <v>186</v>
      </c>
      <c r="N14" s="9">
        <v>188</v>
      </c>
      <c r="O14" s="9">
        <v>311</v>
      </c>
      <c r="P14" s="9">
        <v>739</v>
      </c>
    </row>
    <row r="15" spans="2:16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  <c r="H15" s="10">
        <v>32</v>
      </c>
      <c r="I15" s="10">
        <v>32</v>
      </c>
      <c r="J15" s="10">
        <v>32</v>
      </c>
      <c r="K15" s="10">
        <v>32</v>
      </c>
      <c r="L15" s="10">
        <v>32</v>
      </c>
      <c r="M15" s="10">
        <v>32</v>
      </c>
      <c r="N15" s="10">
        <v>32</v>
      </c>
      <c r="O15" s="10">
        <v>0</v>
      </c>
      <c r="P15" s="10">
        <v>0</v>
      </c>
    </row>
    <row r="16" spans="2:16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  <c r="H16" s="10">
        <v>160</v>
      </c>
      <c r="I16" s="10">
        <v>226</v>
      </c>
      <c r="J16" s="10">
        <v>226</v>
      </c>
      <c r="K16" s="10">
        <v>222</v>
      </c>
      <c r="L16" s="10">
        <v>241</v>
      </c>
      <c r="M16" s="10">
        <v>258</v>
      </c>
      <c r="N16" s="10">
        <v>376</v>
      </c>
      <c r="O16" s="10">
        <v>458</v>
      </c>
      <c r="P16" s="10">
        <v>699</v>
      </c>
    </row>
    <row r="17" spans="2:16" x14ac:dyDescent="0.25">
      <c r="B17" s="10" t="s">
        <v>24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</row>
    <row r="18" spans="2:16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  <c r="H18" s="10">
        <v>2</v>
      </c>
      <c r="I18" s="10">
        <v>2</v>
      </c>
      <c r="J18" s="10">
        <v>2</v>
      </c>
      <c r="K18" s="10">
        <v>4</v>
      </c>
      <c r="L18" s="10">
        <v>4</v>
      </c>
      <c r="M18" s="10">
        <v>4</v>
      </c>
      <c r="N18" s="10">
        <v>4</v>
      </c>
      <c r="O18" s="10">
        <v>2</v>
      </c>
      <c r="P18" s="10">
        <v>0</v>
      </c>
    </row>
    <row r="19" spans="2:16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  <c r="H19" s="10">
        <v>71</v>
      </c>
      <c r="I19" s="10">
        <v>71</v>
      </c>
      <c r="J19" s="10">
        <v>71</v>
      </c>
      <c r="K19" s="10">
        <v>71</v>
      </c>
      <c r="L19" s="10">
        <v>71</v>
      </c>
      <c r="M19" s="10">
        <v>71</v>
      </c>
      <c r="N19" s="10">
        <v>71</v>
      </c>
      <c r="O19" s="10">
        <v>71</v>
      </c>
      <c r="P19" s="10">
        <v>93</v>
      </c>
    </row>
    <row r="20" spans="2:16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</row>
    <row r="21" spans="2:16" ht="15.75" x14ac:dyDescent="0.25">
      <c r="B21" s="19"/>
      <c r="C21" s="20" t="s">
        <v>21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2:16" x14ac:dyDescent="0.25">
      <c r="B22" s="9" t="s">
        <v>32</v>
      </c>
      <c r="C22" s="9">
        <v>44</v>
      </c>
      <c r="D22" s="9">
        <v>43</v>
      </c>
      <c r="E22" s="9">
        <v>67</v>
      </c>
      <c r="F22" s="9">
        <v>35</v>
      </c>
      <c r="G22" s="9">
        <v>25</v>
      </c>
      <c r="H22" s="9">
        <v>44</v>
      </c>
      <c r="I22" s="9">
        <v>50</v>
      </c>
      <c r="J22" s="9">
        <v>44</v>
      </c>
      <c r="K22" s="9">
        <v>47</v>
      </c>
      <c r="L22" s="9">
        <v>53</v>
      </c>
      <c r="M22" s="9">
        <v>44</v>
      </c>
      <c r="N22" s="9">
        <v>53</v>
      </c>
      <c r="O22" s="9">
        <v>16</v>
      </c>
      <c r="P22" s="9">
        <v>11</v>
      </c>
    </row>
    <row r="23" spans="2:16" x14ac:dyDescent="0.25">
      <c r="B23" s="10" t="s">
        <v>5</v>
      </c>
      <c r="C23" s="10">
        <v>10</v>
      </c>
      <c r="D23" s="10">
        <v>10</v>
      </c>
      <c r="E23" s="10">
        <v>10</v>
      </c>
      <c r="F23" s="10">
        <v>10</v>
      </c>
      <c r="G23" s="10">
        <v>10</v>
      </c>
      <c r="H23" s="10">
        <v>10</v>
      </c>
      <c r="I23" s="10">
        <v>9</v>
      </c>
      <c r="J23" s="10">
        <v>8</v>
      </c>
      <c r="K23" s="10">
        <v>7</v>
      </c>
      <c r="L23" s="10">
        <v>6</v>
      </c>
      <c r="M23" s="10">
        <v>5</v>
      </c>
      <c r="N23" s="10">
        <v>4</v>
      </c>
      <c r="O23" s="10">
        <v>10</v>
      </c>
      <c r="P23" s="10">
        <v>10</v>
      </c>
    </row>
    <row r="24" spans="2:16" x14ac:dyDescent="0.25">
      <c r="B24" s="10" t="s">
        <v>4</v>
      </c>
      <c r="C24" s="10">
        <v>3.6539999999999999</v>
      </c>
      <c r="D24" s="10">
        <v>3.0739999999999998</v>
      </c>
      <c r="E24" s="10">
        <v>3.464</v>
      </c>
      <c r="F24" s="10">
        <v>4.2030000000000003</v>
      </c>
      <c r="G24" s="10">
        <v>2.472</v>
      </c>
      <c r="H24" s="10">
        <v>3.6539999999999999</v>
      </c>
      <c r="I24" s="10">
        <v>3.06</v>
      </c>
      <c r="J24" s="10">
        <v>2.2770000000000001</v>
      </c>
      <c r="K24" s="10">
        <v>1.33</v>
      </c>
      <c r="L24" s="10">
        <v>1.573</v>
      </c>
      <c r="M24" s="10">
        <v>0.374</v>
      </c>
      <c r="N24" s="10">
        <v>0.45400000000000001</v>
      </c>
      <c r="O24" s="10">
        <v>4.2080000000000002</v>
      </c>
      <c r="P24" s="10">
        <v>1.369</v>
      </c>
    </row>
    <row r="25" spans="2:16" x14ac:dyDescent="0.25">
      <c r="B25" s="6" t="s">
        <v>18</v>
      </c>
      <c r="C25" s="11">
        <f t="shared" ref="C25:J25" si="1">1000*1/(C23-C24)</f>
        <v>157.5795776867318</v>
      </c>
      <c r="D25" s="11">
        <f t="shared" si="1"/>
        <v>144.38348252959861</v>
      </c>
      <c r="E25" s="11">
        <f t="shared" si="1"/>
        <v>152.99877600979192</v>
      </c>
      <c r="F25" s="11">
        <f t="shared" si="1"/>
        <v>172.50301880282905</v>
      </c>
      <c r="G25" s="11">
        <f t="shared" si="1"/>
        <v>132.8374070138151</v>
      </c>
      <c r="H25" s="11">
        <f t="shared" si="1"/>
        <v>157.5795776867318</v>
      </c>
      <c r="I25" s="11">
        <f t="shared" si="1"/>
        <v>168.35016835016836</v>
      </c>
      <c r="J25" s="11">
        <f t="shared" si="1"/>
        <v>174.73353136466889</v>
      </c>
      <c r="K25" s="11">
        <f t="shared" ref="K25:P25" si="2">1000*1/(K23-K24)</f>
        <v>176.3668430335097</v>
      </c>
      <c r="L25" s="11">
        <f t="shared" si="2"/>
        <v>225.886604924328</v>
      </c>
      <c r="M25" s="11">
        <f t="shared" si="2"/>
        <v>216.16947686986595</v>
      </c>
      <c r="N25" s="11">
        <f t="shared" si="2"/>
        <v>282.0078962210942</v>
      </c>
      <c r="O25" s="11">
        <f t="shared" si="2"/>
        <v>172.65193370165747</v>
      </c>
      <c r="P25" s="11">
        <f t="shared" si="2"/>
        <v>115.86142973004287</v>
      </c>
    </row>
    <row r="27" spans="2:16" ht="18.75" customHeight="1" x14ac:dyDescent="0.25"/>
    <row r="28" spans="2:16" ht="15.75" customHeight="1" x14ac:dyDescent="0.25">
      <c r="C28" s="23" t="s">
        <v>22</v>
      </c>
      <c r="D28" s="2" t="s">
        <v>2</v>
      </c>
      <c r="E28" s="2" t="s">
        <v>1</v>
      </c>
      <c r="F28" s="2" t="s">
        <v>25</v>
      </c>
      <c r="G28" s="2" t="s">
        <v>26</v>
      </c>
      <c r="H28" s="2" t="s">
        <v>28</v>
      </c>
      <c r="I28" s="2" t="s">
        <v>29</v>
      </c>
      <c r="J28" s="2" t="s">
        <v>30</v>
      </c>
      <c r="K28" s="2" t="s">
        <v>31</v>
      </c>
      <c r="L28" s="2" t="s">
        <v>33</v>
      </c>
      <c r="M28" s="2" t="s">
        <v>42</v>
      </c>
      <c r="N28" s="2" t="s">
        <v>43</v>
      </c>
      <c r="O28" s="2" t="s">
        <v>44</v>
      </c>
      <c r="P28" s="2" t="s">
        <v>45</v>
      </c>
    </row>
    <row r="29" spans="2:16" ht="21" customHeight="1" x14ac:dyDescent="0.25">
      <c r="C29" s="24"/>
      <c r="D29" s="20" t="s">
        <v>20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2:16" x14ac:dyDescent="0.25">
      <c r="C30" s="17" t="s">
        <v>12</v>
      </c>
      <c r="D30" s="9">
        <f t="shared" ref="D30:D32" si="3">D4-C4</f>
        <v>-8.3739781985058992E-2</v>
      </c>
      <c r="E30" s="17">
        <f t="shared" ref="E30:E32" si="4">E4-C4</f>
        <v>-0.16162425163201899</v>
      </c>
      <c r="F30" s="17">
        <f t="shared" ref="F30:F32" si="5">F4-C4</f>
        <v>-0.317186932079494</v>
      </c>
      <c r="G30" s="17">
        <f>G4-C4</f>
        <v>-0.16028337995521696</v>
      </c>
      <c r="H30" s="17">
        <f>H4-C4</f>
        <v>8.0847530625799413E-4</v>
      </c>
      <c r="I30" s="17">
        <f>I4-C4</f>
        <v>-8.3342165453358985E-2</v>
      </c>
      <c r="J30" s="17">
        <f>J4-C4</f>
        <v>-2.1762214601038998E-2</v>
      </c>
      <c r="K30" s="17">
        <f>K4-C4</f>
        <v>0.28694965294562297</v>
      </c>
      <c r="L30" s="17">
        <f>L4-C4</f>
        <v>0.19714332302101006</v>
      </c>
      <c r="M30" s="17">
        <f>M4-C4</f>
        <v>0.10272135841660307</v>
      </c>
      <c r="N30" s="17">
        <f>N4-C4</f>
        <v>0.11791216093115603</v>
      </c>
      <c r="O30" s="17">
        <f>O4-C4</f>
        <v>-0.10349464719183699</v>
      </c>
      <c r="P30" s="9">
        <f>P4-C4</f>
        <v>-9.254479664377796E-2</v>
      </c>
    </row>
    <row r="31" spans="2:16" x14ac:dyDescent="0.25">
      <c r="C31" s="16" t="s">
        <v>13</v>
      </c>
      <c r="D31" s="10">
        <f t="shared" si="3"/>
        <v>0.54130377247929995</v>
      </c>
      <c r="E31" s="16">
        <f t="shared" si="4"/>
        <v>-0.11654733680188989</v>
      </c>
      <c r="F31" s="16">
        <f t="shared" si="5"/>
        <v>-1.0308174969395629</v>
      </c>
      <c r="G31" s="16">
        <f t="shared" ref="G31:G32" si="6">G5-C5</f>
        <v>-0.82639753236435398</v>
      </c>
      <c r="H31" s="16">
        <f t="shared" ref="H31:H32" si="7">H5-C5</f>
        <v>2.2188760340013935E-4</v>
      </c>
      <c r="I31" s="16">
        <f t="shared" ref="I31:I32" si="8">I5-C5</f>
        <v>0.38547744043171006</v>
      </c>
      <c r="J31" s="16">
        <f t="shared" ref="J31:J32" si="9">J5-C5</f>
        <v>0.57483604177833025</v>
      </c>
      <c r="K31" s="16">
        <f t="shared" ref="K31:K32" si="10">K5-C5</f>
        <v>-0.42172183748334691</v>
      </c>
      <c r="L31" s="16">
        <f t="shared" ref="L31:L32" si="11">L5-C5</f>
        <v>-0.3303182893432679</v>
      </c>
      <c r="M31" s="16">
        <f t="shared" ref="M31:M32" si="12">M5-C5</f>
        <v>1.9586777780205002</v>
      </c>
      <c r="N31" s="16">
        <f t="shared" ref="N31:N32" si="13">N5-C5</f>
        <v>2.5893617421388599</v>
      </c>
      <c r="O31" s="16">
        <f t="shared" ref="O31:O32" si="14">O5-C5</f>
        <v>-0.57320104679092787</v>
      </c>
      <c r="P31" s="10">
        <f t="shared" ref="P31:P32" si="15">P5-C5</f>
        <v>1.1941618286073199</v>
      </c>
    </row>
    <row r="32" spans="2:16" x14ac:dyDescent="0.25">
      <c r="C32" s="16" t="s">
        <v>14</v>
      </c>
      <c r="D32" s="10">
        <f t="shared" si="3"/>
        <v>7.9664983786642996E-2</v>
      </c>
      <c r="E32" s="16">
        <f t="shared" si="4"/>
        <v>-1.3816927094011999E-2</v>
      </c>
      <c r="F32" s="16">
        <f t="shared" si="5"/>
        <v>0.77941740164533613</v>
      </c>
      <c r="G32" s="16">
        <f t="shared" si="6"/>
        <v>0.38482854142785106</v>
      </c>
      <c r="H32" s="16">
        <f t="shared" si="7"/>
        <v>8.5586216300730378E-3</v>
      </c>
      <c r="I32" s="16">
        <f t="shared" si="8"/>
        <v>-3.1216477509588003E-2</v>
      </c>
      <c r="J32" s="16">
        <f t="shared" si="9"/>
        <v>2.8614420443772992E-2</v>
      </c>
      <c r="K32" s="16">
        <f t="shared" si="10"/>
        <v>1.288426748942586</v>
      </c>
      <c r="L32" s="16">
        <f t="shared" si="11"/>
        <v>1.2139487662352662</v>
      </c>
      <c r="M32" s="16">
        <f t="shared" si="12"/>
        <v>-5.6214077631010995E-2</v>
      </c>
      <c r="N32" s="16">
        <f t="shared" si="13"/>
        <v>-8.7950960732995964E-2</v>
      </c>
      <c r="O32" s="16">
        <f t="shared" si="14"/>
        <v>0.854059064295146</v>
      </c>
      <c r="P32" s="10">
        <f t="shared" si="15"/>
        <v>-0.33501180587336399</v>
      </c>
    </row>
    <row r="33" spans="3:16" x14ac:dyDescent="0.25">
      <c r="C33" s="16" t="s">
        <v>15</v>
      </c>
      <c r="D33" s="10">
        <f>D7-C7</f>
        <v>-8.3225488197058994E-2</v>
      </c>
      <c r="E33" s="16">
        <f>E7-C7</f>
        <v>-0.33119227737188395</v>
      </c>
      <c r="F33" s="16">
        <f>F7-C7</f>
        <v>-0.47707988414913399</v>
      </c>
      <c r="G33" s="16">
        <f>G7-C7</f>
        <v>0.25513494620099497</v>
      </c>
      <c r="H33" s="16">
        <f>H7-C7</f>
        <v>3.9877486415210717E-3</v>
      </c>
      <c r="I33" s="16">
        <f>I7-C7</f>
        <v>-5.2686838898807986E-2</v>
      </c>
      <c r="J33" s="16">
        <f>J7-C7</f>
        <v>0.10664056753739504</v>
      </c>
      <c r="K33" s="16">
        <f>K7-C7</f>
        <v>0.12265000259503489</v>
      </c>
      <c r="L33" s="16">
        <f>L7-C7</f>
        <v>-0.16344146570190798</v>
      </c>
      <c r="M33" s="16">
        <f>M7-C7</f>
        <v>-3.3339776564390022E-2</v>
      </c>
      <c r="N33" s="16">
        <f>N7-C7</f>
        <v>-0.20127597963437505</v>
      </c>
      <c r="O33" s="16">
        <f>O7-C7</f>
        <v>0.46632770681753499</v>
      </c>
      <c r="P33" s="10">
        <f>P7-C7</f>
        <v>7.0417745155282354</v>
      </c>
    </row>
    <row r="34" spans="3:16" x14ac:dyDescent="0.25">
      <c r="C34" s="16" t="s">
        <v>16</v>
      </c>
      <c r="D34" s="10">
        <f>D8-C8</f>
        <v>-2.1769233171652991E-4</v>
      </c>
      <c r="E34" s="16">
        <f>E8-C8</f>
        <v>5.9535227592278023E-4</v>
      </c>
      <c r="F34" s="16">
        <f>F8-C8</f>
        <v>4.7620662826375389E-3</v>
      </c>
      <c r="G34" s="16">
        <f>G8-C8</f>
        <v>7.6245289619692388E-3</v>
      </c>
      <c r="H34" s="16">
        <f>H8-C8</f>
        <v>-6.7266228143120135E-5</v>
      </c>
      <c r="I34" s="16">
        <f>I8-C8</f>
        <v>-1.0231815390174953E-8</v>
      </c>
      <c r="J34" s="16">
        <f>J8-C8</f>
        <v>-1.7858678802440018E-4</v>
      </c>
      <c r="K34" s="16">
        <f>K8-C8</f>
        <v>3.2784471386548904E-3</v>
      </c>
      <c r="L34" s="16">
        <f>L8-C8</f>
        <v>2.4094258606055601E-3</v>
      </c>
      <c r="M34" s="16">
        <f>M8-C8</f>
        <v>9.6726193987707034E-4</v>
      </c>
      <c r="N34" s="16">
        <f>N8-C8</f>
        <v>-1.0881121852435098E-3</v>
      </c>
      <c r="O34" s="16">
        <f>O8-C8</f>
        <v>1.5168068102866538E-2</v>
      </c>
      <c r="P34" s="10">
        <f>P8-C8</f>
        <v>4.7176411044347402E-3</v>
      </c>
    </row>
    <row r="35" spans="3:16" x14ac:dyDescent="0.25">
      <c r="C35" s="16" t="s">
        <v>17</v>
      </c>
      <c r="D35" s="10">
        <f>D9-C9</f>
        <v>0.37493102718144988</v>
      </c>
      <c r="E35" s="16">
        <f>E9-C9</f>
        <v>-6.9353962317110995E-2</v>
      </c>
      <c r="F35" s="16">
        <f>F9-C9</f>
        <v>-0.36357564385980501</v>
      </c>
      <c r="G35" s="16">
        <f>G9-C9</f>
        <v>0.22349122446030001</v>
      </c>
      <c r="H35" s="16">
        <f>H9-C9</f>
        <v>7.4359122663698596E-3</v>
      </c>
      <c r="I35" s="16">
        <f>I9-C9</f>
        <v>-0.15615939628332998</v>
      </c>
      <c r="J35" s="16">
        <f>J9-C9</f>
        <v>7.1378075517710027E-2</v>
      </c>
      <c r="K35" s="16">
        <f>K9-C9</f>
        <v>-0.21793914493173505</v>
      </c>
      <c r="L35" s="16">
        <f>L9-C9</f>
        <v>-0.31368678901344704</v>
      </c>
      <c r="M35" s="16">
        <f>M9-C9</f>
        <v>-0.15340978279710005</v>
      </c>
      <c r="N35" s="16">
        <f>N9-C9</f>
        <v>-0.32084516715258504</v>
      </c>
      <c r="O35" s="16">
        <f>O9-C9</f>
        <v>0.90110651217401005</v>
      </c>
      <c r="P35" s="10">
        <f>P9-C9</f>
        <v>4.53166617080569</v>
      </c>
    </row>
    <row r="36" spans="3:16" x14ac:dyDescent="0.25">
      <c r="C36" s="16" t="s">
        <v>19</v>
      </c>
      <c r="D36" s="10">
        <f>D10-C10</f>
        <v>0.82871682093355759</v>
      </c>
      <c r="E36" s="16">
        <f>E10-C10</f>
        <v>-0.69193940294099354</v>
      </c>
      <c r="F36" s="16">
        <f>F10-C10</f>
        <v>-1.4044804891000227</v>
      </c>
      <c r="G36" s="16">
        <f>G10-C10</f>
        <v>-0.11560167126845622</v>
      </c>
      <c r="H36" s="16">
        <f>H10-C10</f>
        <v>2.0945379219478255E-2</v>
      </c>
      <c r="I36" s="16">
        <f>I10-C10</f>
        <v>6.2072552054809549E-2</v>
      </c>
      <c r="J36" s="16">
        <f>J10-C10</f>
        <v>0.75952830388814441</v>
      </c>
      <c r="K36" s="16">
        <f>K10-C10</f>
        <v>1.0616438692068169</v>
      </c>
      <c r="L36" s="16">
        <f>L10-C10</f>
        <v>0.60605497105825812</v>
      </c>
      <c r="M36" s="16">
        <f>M10-C10</f>
        <v>1.8194027613844792</v>
      </c>
      <c r="N36" s="16">
        <f>N10-C10</f>
        <v>2.0961136833648153</v>
      </c>
      <c r="O36" s="16">
        <f>O10-C10</f>
        <v>1.5599656574067922</v>
      </c>
      <c r="P36" s="10">
        <f>P10-C10</f>
        <v>12.344763553528539</v>
      </c>
    </row>
    <row r="37" spans="3:16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3:16" x14ac:dyDescent="0.25">
      <c r="C38" s="27" t="s">
        <v>46</v>
      </c>
      <c r="D38" s="27">
        <f>D$10-$C$10</f>
        <v>0.82871682093355759</v>
      </c>
      <c r="E38" s="27">
        <f t="shared" ref="E38:P38" si="16">E$10-$C$10</f>
        <v>-0.69193940294099354</v>
      </c>
      <c r="F38" s="27">
        <f t="shared" si="16"/>
        <v>-1.4044804891000227</v>
      </c>
      <c r="G38" s="27">
        <f t="shared" si="16"/>
        <v>-0.11560167126845622</v>
      </c>
      <c r="H38" s="27">
        <f t="shared" si="16"/>
        <v>2.0945379219478255E-2</v>
      </c>
      <c r="I38" s="27">
        <f t="shared" si="16"/>
        <v>6.2072552054809549E-2</v>
      </c>
      <c r="J38" s="27">
        <f t="shared" si="16"/>
        <v>0.75952830388814441</v>
      </c>
      <c r="K38" s="27">
        <f t="shared" si="16"/>
        <v>1.0616438692068169</v>
      </c>
      <c r="L38" s="27">
        <f t="shared" si="16"/>
        <v>0.60605497105825812</v>
      </c>
      <c r="M38" s="27">
        <f t="shared" si="16"/>
        <v>1.8194027613844792</v>
      </c>
      <c r="N38" s="27">
        <f t="shared" si="16"/>
        <v>2.0961136833648153</v>
      </c>
      <c r="O38" s="27">
        <f t="shared" si="16"/>
        <v>1.5599656574067922</v>
      </c>
      <c r="P38" s="27">
        <f t="shared" si="16"/>
        <v>12.344763553528539</v>
      </c>
    </row>
    <row r="39" spans="3:16" ht="15.75" x14ac:dyDescent="0.25">
      <c r="C39" s="12"/>
      <c r="D39" s="25" t="s">
        <v>3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3:16" x14ac:dyDescent="0.25">
      <c r="C40" s="17" t="s">
        <v>6</v>
      </c>
      <c r="D40" s="9">
        <f t="shared" ref="D40:D46" si="17">D14-C14</f>
        <v>-5</v>
      </c>
      <c r="E40" s="17">
        <f t="shared" ref="E40:E46" si="18">E14-C14</f>
        <v>-117</v>
      </c>
      <c r="F40" s="17">
        <f t="shared" ref="F40:F46" si="19">F14-C14</f>
        <v>-58</v>
      </c>
      <c r="G40" s="17">
        <f>G14-C14</f>
        <v>177</v>
      </c>
      <c r="H40" s="17">
        <f>H14-C14</f>
        <v>0</v>
      </c>
      <c r="I40" s="17">
        <f>I14-C14</f>
        <v>1</v>
      </c>
      <c r="J40" s="17">
        <f>J14-C14</f>
        <v>1</v>
      </c>
      <c r="K40" s="17">
        <f>K14-C14</f>
        <v>-89</v>
      </c>
      <c r="L40" s="17">
        <f>L14-C14</f>
        <v>-89</v>
      </c>
      <c r="M40" s="17">
        <f>M14-C14</f>
        <v>-89</v>
      </c>
      <c r="N40" s="17">
        <f>N14-C14</f>
        <v>-87</v>
      </c>
      <c r="O40" s="17">
        <f>O14-C14</f>
        <v>36</v>
      </c>
      <c r="P40" s="9">
        <f>P14-C14</f>
        <v>464</v>
      </c>
    </row>
    <row r="41" spans="3:16" x14ac:dyDescent="0.25">
      <c r="C41" s="16" t="s">
        <v>7</v>
      </c>
      <c r="D41" s="10">
        <f t="shared" si="17"/>
        <v>0</v>
      </c>
      <c r="E41" s="16">
        <f t="shared" si="18"/>
        <v>0</v>
      </c>
      <c r="F41" s="16">
        <f t="shared" si="19"/>
        <v>-32</v>
      </c>
      <c r="G41" s="16">
        <f t="shared" ref="G41:G46" si="20">G15-C15</f>
        <v>-32</v>
      </c>
      <c r="H41" s="16">
        <f t="shared" ref="H41:H46" si="21">H15-C15</f>
        <v>0</v>
      </c>
      <c r="I41" s="16">
        <f t="shared" ref="I41:I46" si="22">I15-C15</f>
        <v>0</v>
      </c>
      <c r="J41" s="16">
        <f t="shared" ref="J41:J46" si="23">J15-C15</f>
        <v>0</v>
      </c>
      <c r="K41" s="16">
        <f t="shared" ref="K41:K46" si="24">K15-C15</f>
        <v>0</v>
      </c>
      <c r="L41" s="16">
        <f t="shared" ref="L41:L46" si="25">L15-C15</f>
        <v>0</v>
      </c>
      <c r="M41" s="16">
        <f t="shared" ref="M41:M46" si="26">M15-C15</f>
        <v>0</v>
      </c>
      <c r="N41" s="16">
        <f t="shared" ref="N41:N46" si="27">N15-C15</f>
        <v>0</v>
      </c>
      <c r="O41" s="16">
        <f t="shared" ref="O41:O46" si="28">O15-C15</f>
        <v>-32</v>
      </c>
      <c r="P41" s="10">
        <f t="shared" ref="P41:P46" si="29">P15-C15</f>
        <v>-32</v>
      </c>
    </row>
    <row r="42" spans="3:16" x14ac:dyDescent="0.25">
      <c r="C42" s="16" t="s">
        <v>8</v>
      </c>
      <c r="D42" s="10">
        <f t="shared" si="17"/>
        <v>-26</v>
      </c>
      <c r="E42" s="16">
        <f t="shared" si="18"/>
        <v>-54</v>
      </c>
      <c r="F42" s="16">
        <f t="shared" si="19"/>
        <v>-38</v>
      </c>
      <c r="G42" s="16">
        <f t="shared" si="20"/>
        <v>194</v>
      </c>
      <c r="H42" s="16">
        <f t="shared" si="21"/>
        <v>0</v>
      </c>
      <c r="I42" s="16">
        <f t="shared" si="22"/>
        <v>66</v>
      </c>
      <c r="J42" s="16">
        <f t="shared" si="23"/>
        <v>66</v>
      </c>
      <c r="K42" s="16">
        <f t="shared" si="24"/>
        <v>62</v>
      </c>
      <c r="L42" s="16">
        <f t="shared" si="25"/>
        <v>81</v>
      </c>
      <c r="M42" s="16">
        <f t="shared" si="26"/>
        <v>98</v>
      </c>
      <c r="N42" s="16">
        <f t="shared" si="27"/>
        <v>216</v>
      </c>
      <c r="O42" s="16">
        <f t="shared" si="28"/>
        <v>298</v>
      </c>
      <c r="P42" s="10">
        <f t="shared" si="29"/>
        <v>539</v>
      </c>
    </row>
    <row r="43" spans="3:16" x14ac:dyDescent="0.25">
      <c r="C43" s="16" t="s">
        <v>27</v>
      </c>
      <c r="D43" s="10">
        <f t="shared" si="17"/>
        <v>0</v>
      </c>
      <c r="E43" s="16">
        <f t="shared" si="18"/>
        <v>0</v>
      </c>
      <c r="F43" s="16">
        <f t="shared" si="19"/>
        <v>1</v>
      </c>
      <c r="G43" s="16">
        <f t="shared" si="20"/>
        <v>1</v>
      </c>
      <c r="H43" s="16">
        <f t="shared" si="21"/>
        <v>0</v>
      </c>
      <c r="I43" s="16">
        <f t="shared" si="22"/>
        <v>0</v>
      </c>
      <c r="J43" s="16">
        <f t="shared" si="23"/>
        <v>0</v>
      </c>
      <c r="K43" s="16">
        <f t="shared" si="24"/>
        <v>0</v>
      </c>
      <c r="L43" s="16">
        <f t="shared" si="25"/>
        <v>0</v>
      </c>
      <c r="M43" s="16">
        <f t="shared" si="26"/>
        <v>0</v>
      </c>
      <c r="N43" s="16">
        <f t="shared" si="27"/>
        <v>0</v>
      </c>
      <c r="O43" s="16">
        <f t="shared" si="28"/>
        <v>0</v>
      </c>
      <c r="P43" s="10">
        <f t="shared" si="29"/>
        <v>0</v>
      </c>
    </row>
    <row r="44" spans="3:16" x14ac:dyDescent="0.25">
      <c r="C44" s="16" t="s">
        <v>9</v>
      </c>
      <c r="D44" s="10">
        <f t="shared" si="17"/>
        <v>0</v>
      </c>
      <c r="E44" s="16">
        <f t="shared" si="18"/>
        <v>0</v>
      </c>
      <c r="F44" s="16">
        <f t="shared" si="19"/>
        <v>2</v>
      </c>
      <c r="G44" s="16">
        <f t="shared" si="20"/>
        <v>2</v>
      </c>
      <c r="H44" s="16">
        <f t="shared" si="21"/>
        <v>0</v>
      </c>
      <c r="I44" s="16">
        <f t="shared" si="22"/>
        <v>0</v>
      </c>
      <c r="J44" s="16">
        <f t="shared" si="23"/>
        <v>0</v>
      </c>
      <c r="K44" s="16">
        <f t="shared" si="24"/>
        <v>2</v>
      </c>
      <c r="L44" s="16">
        <f t="shared" si="25"/>
        <v>2</v>
      </c>
      <c r="M44" s="16">
        <f t="shared" si="26"/>
        <v>2</v>
      </c>
      <c r="N44" s="16">
        <f t="shared" si="27"/>
        <v>2</v>
      </c>
      <c r="O44" s="16">
        <f t="shared" si="28"/>
        <v>0</v>
      </c>
      <c r="P44" s="10">
        <f t="shared" si="29"/>
        <v>-2</v>
      </c>
    </row>
    <row r="45" spans="3:16" x14ac:dyDescent="0.25">
      <c r="C45" s="16" t="s">
        <v>10</v>
      </c>
      <c r="D45" s="10">
        <f t="shared" si="17"/>
        <v>0</v>
      </c>
      <c r="E45" s="16">
        <f t="shared" si="18"/>
        <v>0</v>
      </c>
      <c r="F45" s="16">
        <f t="shared" si="19"/>
        <v>0</v>
      </c>
      <c r="G45" s="16">
        <f t="shared" si="20"/>
        <v>0</v>
      </c>
      <c r="H45" s="16">
        <f t="shared" si="21"/>
        <v>0</v>
      </c>
      <c r="I45" s="16">
        <f t="shared" si="22"/>
        <v>0</v>
      </c>
      <c r="J45" s="16">
        <f t="shared" si="23"/>
        <v>0</v>
      </c>
      <c r="K45" s="16">
        <f t="shared" si="24"/>
        <v>0</v>
      </c>
      <c r="L45" s="16">
        <f t="shared" si="25"/>
        <v>0</v>
      </c>
      <c r="M45" s="16">
        <f t="shared" si="26"/>
        <v>0</v>
      </c>
      <c r="N45" s="16">
        <f t="shared" si="27"/>
        <v>0</v>
      </c>
      <c r="O45" s="16">
        <f t="shared" si="28"/>
        <v>0</v>
      </c>
      <c r="P45" s="10">
        <f t="shared" si="29"/>
        <v>22</v>
      </c>
    </row>
    <row r="46" spans="3:16" x14ac:dyDescent="0.25">
      <c r="C46" s="6" t="s">
        <v>11</v>
      </c>
      <c r="D46" s="11">
        <f t="shared" si="17"/>
        <v>0</v>
      </c>
      <c r="E46" s="6">
        <f t="shared" si="18"/>
        <v>0</v>
      </c>
      <c r="F46" s="6">
        <f t="shared" si="19"/>
        <v>0</v>
      </c>
      <c r="G46" s="6">
        <f t="shared" si="20"/>
        <v>0</v>
      </c>
      <c r="H46" s="6">
        <f t="shared" si="21"/>
        <v>0</v>
      </c>
      <c r="I46" s="6">
        <f t="shared" si="22"/>
        <v>0</v>
      </c>
      <c r="J46" s="6">
        <f t="shared" si="23"/>
        <v>0</v>
      </c>
      <c r="K46" s="6">
        <f t="shared" si="24"/>
        <v>0</v>
      </c>
      <c r="L46" s="6">
        <f t="shared" si="25"/>
        <v>0</v>
      </c>
      <c r="M46" s="6">
        <f t="shared" si="26"/>
        <v>0</v>
      </c>
      <c r="N46" s="6">
        <f t="shared" si="27"/>
        <v>0</v>
      </c>
      <c r="O46" s="6">
        <f t="shared" si="28"/>
        <v>0</v>
      </c>
      <c r="P46" s="11">
        <f t="shared" si="29"/>
        <v>0</v>
      </c>
    </row>
    <row r="47" spans="3:16" ht="15.75" x14ac:dyDescent="0.25">
      <c r="C47" s="18"/>
      <c r="D47" s="20" t="s">
        <v>21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3:16" x14ac:dyDescent="0.25">
      <c r="C48" s="17" t="s">
        <v>32</v>
      </c>
      <c r="D48" s="9">
        <f>D22-C22</f>
        <v>-1</v>
      </c>
      <c r="E48" s="3">
        <f>E22-C22</f>
        <v>23</v>
      </c>
      <c r="F48" s="9">
        <f>F22-C22</f>
        <v>-9</v>
      </c>
      <c r="G48" s="3">
        <f>G22-C22</f>
        <v>-19</v>
      </c>
      <c r="H48" s="9">
        <f>H22-C22</f>
        <v>0</v>
      </c>
      <c r="I48" s="9">
        <f>I22-C22</f>
        <v>6</v>
      </c>
      <c r="J48" s="9">
        <f>J22-C22</f>
        <v>0</v>
      </c>
      <c r="K48" s="3">
        <f>K22-C22</f>
        <v>3</v>
      </c>
      <c r="L48" s="17">
        <f>L22-C22</f>
        <v>9</v>
      </c>
      <c r="M48" s="17">
        <f>M22-C22</f>
        <v>0</v>
      </c>
      <c r="N48" s="17">
        <f>N22-C22</f>
        <v>9</v>
      </c>
      <c r="O48" s="17">
        <f>O22-C22</f>
        <v>-28</v>
      </c>
      <c r="P48" s="9">
        <f>P22-C22</f>
        <v>-33</v>
      </c>
    </row>
    <row r="49" spans="3:16" x14ac:dyDescent="0.25">
      <c r="C49" s="16" t="s">
        <v>5</v>
      </c>
      <c r="D49" s="10">
        <f>D23-C23</f>
        <v>0</v>
      </c>
      <c r="E49" s="1">
        <f>E23-C23</f>
        <v>0</v>
      </c>
      <c r="F49" s="10">
        <f>F23-C23</f>
        <v>0</v>
      </c>
      <c r="G49" s="1">
        <f>G23-C23</f>
        <v>0</v>
      </c>
      <c r="H49" s="10">
        <f>H23-C23</f>
        <v>0</v>
      </c>
      <c r="I49" s="10">
        <f>I23-C23</f>
        <v>-1</v>
      </c>
      <c r="J49" s="10">
        <f>J23-C23</f>
        <v>-2</v>
      </c>
      <c r="K49" s="1">
        <f>K23-C23</f>
        <v>-3</v>
      </c>
      <c r="L49" s="16">
        <f t="shared" ref="L49:L51" si="30">L23-C23</f>
        <v>-4</v>
      </c>
      <c r="M49" s="16">
        <f t="shared" ref="M49:M51" si="31">M23-C23</f>
        <v>-5</v>
      </c>
      <c r="N49" s="16">
        <f t="shared" ref="N49:N51" si="32">N23-C23</f>
        <v>-6</v>
      </c>
      <c r="O49" s="16">
        <f t="shared" ref="O49:O51" si="33">O23-C23</f>
        <v>0</v>
      </c>
      <c r="P49" s="10">
        <f t="shared" ref="P49:P51" si="34">P23-C23</f>
        <v>0</v>
      </c>
    </row>
    <row r="50" spans="3:16" x14ac:dyDescent="0.25">
      <c r="C50" s="16" t="s">
        <v>4</v>
      </c>
      <c r="D50" s="10">
        <f>D24-C24</f>
        <v>-0.58000000000000007</v>
      </c>
      <c r="E50" s="1">
        <f>E24-C24</f>
        <v>-0.18999999999999995</v>
      </c>
      <c r="F50" s="10">
        <f>F24-C24</f>
        <v>0.54900000000000038</v>
      </c>
      <c r="G50" s="1">
        <f>G24-C24</f>
        <v>-1.1819999999999999</v>
      </c>
      <c r="H50" s="10">
        <f>H24-C24</f>
        <v>0</v>
      </c>
      <c r="I50" s="10">
        <f>I24-C24</f>
        <v>-0.59399999999999986</v>
      </c>
      <c r="J50" s="10">
        <f>J24-C24</f>
        <v>-1.3769999999999998</v>
      </c>
      <c r="K50" s="1">
        <f>K24-C24</f>
        <v>-2.3239999999999998</v>
      </c>
      <c r="L50" s="16">
        <f t="shared" si="30"/>
        <v>-2.081</v>
      </c>
      <c r="M50" s="16">
        <f t="shared" si="31"/>
        <v>-3.28</v>
      </c>
      <c r="N50" s="16">
        <f t="shared" si="32"/>
        <v>-3.1999999999999997</v>
      </c>
      <c r="O50" s="16">
        <f>O24-C24</f>
        <v>0.55400000000000027</v>
      </c>
      <c r="P50" s="10">
        <f t="shared" si="34"/>
        <v>-2.2850000000000001</v>
      </c>
    </row>
    <row r="51" spans="3:16" x14ac:dyDescent="0.25">
      <c r="C51" s="6" t="s">
        <v>18</v>
      </c>
      <c r="D51" s="11">
        <f>D25-C25</f>
        <v>-13.196095157133186</v>
      </c>
      <c r="E51" s="7">
        <f>E25-C25</f>
        <v>-4.5808016769398705</v>
      </c>
      <c r="F51" s="11">
        <f>F25-C25</f>
        <v>14.923441116097251</v>
      </c>
      <c r="G51" s="7">
        <f>G25-C25</f>
        <v>-24.7421706729167</v>
      </c>
      <c r="H51" s="11">
        <f>H25-C25</f>
        <v>0</v>
      </c>
      <c r="I51" s="11">
        <f>I25-C25</f>
        <v>10.770590663436565</v>
      </c>
      <c r="J51" s="11">
        <f>J25-C25</f>
        <v>17.153953677937096</v>
      </c>
      <c r="K51" s="7">
        <f>K25-C25</f>
        <v>18.7872653467779</v>
      </c>
      <c r="L51" s="6">
        <f t="shared" si="30"/>
        <v>68.307027237596202</v>
      </c>
      <c r="M51" s="6">
        <f t="shared" si="31"/>
        <v>58.58989918313415</v>
      </c>
      <c r="N51" s="6">
        <f t="shared" si="32"/>
        <v>124.4283185343624</v>
      </c>
      <c r="O51" s="6">
        <f t="shared" si="33"/>
        <v>15.072356014925674</v>
      </c>
      <c r="P51" s="11">
        <f t="shared" si="34"/>
        <v>-41.718147956688924</v>
      </c>
    </row>
    <row r="54" spans="3:16" ht="18.75" x14ac:dyDescent="0.25">
      <c r="C54" s="23" t="s">
        <v>41</v>
      </c>
      <c r="D54" s="2" t="s">
        <v>2</v>
      </c>
      <c r="E54" s="2" t="s">
        <v>1</v>
      </c>
      <c r="F54" s="2" t="s">
        <v>25</v>
      </c>
      <c r="G54" s="2" t="s">
        <v>26</v>
      </c>
      <c r="H54" s="2" t="s">
        <v>28</v>
      </c>
      <c r="I54" s="2" t="s">
        <v>29</v>
      </c>
      <c r="J54" s="2" t="s">
        <v>30</v>
      </c>
      <c r="K54" s="2" t="s">
        <v>31</v>
      </c>
      <c r="L54" s="2" t="s">
        <v>33</v>
      </c>
      <c r="M54" s="2" t="s">
        <v>42</v>
      </c>
      <c r="N54" s="2" t="s">
        <v>43</v>
      </c>
      <c r="O54" s="2" t="s">
        <v>44</v>
      </c>
      <c r="P54" s="2" t="s">
        <v>45</v>
      </c>
    </row>
    <row r="55" spans="3:16" ht="15.75" x14ac:dyDescent="0.25">
      <c r="C55" s="24"/>
      <c r="D55" s="20" t="s">
        <v>20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3:16" x14ac:dyDescent="0.25">
      <c r="C56" s="17" t="s">
        <v>34</v>
      </c>
      <c r="D56" s="9">
        <f>((D4-$C4)/$C4)*100</f>
        <v>-18.435649023904833</v>
      </c>
      <c r="E56" s="9">
        <f t="shared" ref="E56:L56" si="35">((E4-$C4)/$C4)*100</f>
        <v>-35.582227541156172</v>
      </c>
      <c r="F56" s="9">
        <f t="shared" si="35"/>
        <v>-69.829975862965838</v>
      </c>
      <c r="G56" s="9">
        <f t="shared" si="35"/>
        <v>-35.287029261036132</v>
      </c>
      <c r="H56" s="9">
        <f t="shared" si="35"/>
        <v>0.17798908281521064</v>
      </c>
      <c r="I56" s="9">
        <f t="shared" si="35"/>
        <v>-18.348112148948175</v>
      </c>
      <c r="J56" s="9">
        <f t="shared" si="35"/>
        <v>-4.7910388689480357</v>
      </c>
      <c r="K56" s="9">
        <f t="shared" si="35"/>
        <v>63.173117529499592</v>
      </c>
      <c r="L56" s="9">
        <f t="shared" si="35"/>
        <v>43.401893633662759</v>
      </c>
      <c r="M56" s="9">
        <f t="shared" ref="M56:N56" si="36">((M4-$C4)/$C4)*100</f>
        <v>22.614519242062396</v>
      </c>
      <c r="N56" s="9">
        <f t="shared" si="36"/>
        <v>25.958835371279417</v>
      </c>
      <c r="O56" s="9">
        <f t="shared" ref="O56:P56" si="37">((O4-$C4)/$C4)*100</f>
        <v>-22.784761868880814</v>
      </c>
      <c r="P56" s="9">
        <f t="shared" si="37"/>
        <v>-20.374108332617176</v>
      </c>
    </row>
    <row r="57" spans="3:16" x14ac:dyDescent="0.25">
      <c r="C57" s="16" t="s">
        <v>35</v>
      </c>
      <c r="D57" s="10">
        <f t="shared" ref="D57:D58" si="38">((D5-$C5)/$C5)*100</f>
        <v>44.533976647304748</v>
      </c>
      <c r="E57" s="10">
        <f t="shared" ref="E57:L57" si="39">((E5-$C5)/$C5)*100</f>
        <v>-9.5885464674817307</v>
      </c>
      <c r="F57" s="10">
        <f t="shared" si="39"/>
        <v>-84.807098472780623</v>
      </c>
      <c r="G57" s="10">
        <f t="shared" si="39"/>
        <v>-67.989122335392153</v>
      </c>
      <c r="H57" s="10">
        <f t="shared" si="39"/>
        <v>1.8255068319380879E-2</v>
      </c>
      <c r="I57" s="10">
        <f t="shared" si="39"/>
        <v>31.713880824477464</v>
      </c>
      <c r="J57" s="10">
        <f t="shared" si="39"/>
        <v>47.292733141933198</v>
      </c>
      <c r="K57" s="10">
        <f t="shared" si="39"/>
        <v>-34.695768655224043</v>
      </c>
      <c r="L57" s="10">
        <f t="shared" si="39"/>
        <v>-27.175844196344091</v>
      </c>
      <c r="M57" s="10">
        <f t="shared" ref="M57:N57" si="40">((M5-$C5)/$C5)*100</f>
        <v>161.14373270748891</v>
      </c>
      <c r="N57" s="10">
        <f t="shared" si="40"/>
        <v>213.03116885306039</v>
      </c>
      <c r="O57" s="10">
        <f t="shared" ref="O57:P57" si="41">((O5-$C5)/$C5)*100</f>
        <v>-47.158219339722038</v>
      </c>
      <c r="P57" s="10">
        <f t="shared" si="41"/>
        <v>98.245712836473558</v>
      </c>
    </row>
    <row r="58" spans="3:16" x14ac:dyDescent="0.25">
      <c r="C58" s="16" t="s">
        <v>36</v>
      </c>
      <c r="D58" s="10">
        <f t="shared" si="38"/>
        <v>23.779754142979883</v>
      </c>
      <c r="E58" s="10">
        <f t="shared" ref="E58:L58" si="42">((E6-$C6)/$C6)*100</f>
        <v>-4.1243105024289388</v>
      </c>
      <c r="F58" s="10">
        <f t="shared" si="42"/>
        <v>232.65371189335323</v>
      </c>
      <c r="G58" s="10">
        <f t="shared" si="42"/>
        <v>114.87014328483636</v>
      </c>
      <c r="H58" s="10">
        <f t="shared" si="42"/>
        <v>2.5547223948603879</v>
      </c>
      <c r="I58" s="10">
        <f t="shared" si="42"/>
        <v>-9.318023115098212</v>
      </c>
      <c r="J58" s="10">
        <f t="shared" si="42"/>
        <v>8.5413170348358936</v>
      </c>
      <c r="K58" s="10">
        <f t="shared" si="42"/>
        <v>384.59144613835406</v>
      </c>
      <c r="L58" s="10">
        <f t="shared" si="42"/>
        <v>362.35999596209587</v>
      </c>
      <c r="M58" s="10">
        <f t="shared" ref="M58:N58" si="43">((M6-$C6)/$C6)*100</f>
        <v>-16.779730339491429</v>
      </c>
      <c r="N58" s="10">
        <f t="shared" si="43"/>
        <v>-26.253092933161238</v>
      </c>
      <c r="O58" s="10">
        <f t="shared" ref="O58:P58" si="44">((O6-$C6)/$C6)*100</f>
        <v>254.93402003211321</v>
      </c>
      <c r="P58" s="10">
        <f t="shared" si="44"/>
        <v>-100</v>
      </c>
    </row>
    <row r="59" spans="3:16" x14ac:dyDescent="0.25">
      <c r="C59" s="16" t="s">
        <v>37</v>
      </c>
      <c r="D59" s="10">
        <f>((D7-$C7)/$C7)*100</f>
        <v>-9.0317142123497565</v>
      </c>
      <c r="E59" s="10">
        <f>((E7-$C7)/$C7)*100</f>
        <v>-35.941321142839868</v>
      </c>
      <c r="F59" s="10">
        <f>((F7-$C7)/$C7)*100</f>
        <v>-51.773191884360415</v>
      </c>
      <c r="G59" s="10">
        <f>((G7-$C7)/$C7)*100</f>
        <v>27.687502585921099</v>
      </c>
      <c r="H59" s="10">
        <f>((H7-$C7)/$C7)*100</f>
        <v>0.43275451861124714</v>
      </c>
      <c r="I59" s="10">
        <f>((I7-$C7)/$C7)*100</f>
        <v>-5.7176290820840343</v>
      </c>
      <c r="J59" s="10">
        <f>((J7-$C7)/$C7)*100</f>
        <v>11.572742320958476</v>
      </c>
      <c r="K59" s="10">
        <f>((K7-$C7)/$C7)*100</f>
        <v>13.31010241669518</v>
      </c>
      <c r="L59" s="10">
        <f>((L7-$C7)/$C7)*100</f>
        <v>-17.736833278430218</v>
      </c>
      <c r="M59" s="10">
        <f>((M7-$C7)/$C7)*100</f>
        <v>-3.6180662962311998</v>
      </c>
      <c r="N59" s="10">
        <f>((N7-$C7)/$C7)*100</f>
        <v>-21.842673023006004</v>
      </c>
      <c r="O59" s="10">
        <f>((O7-$C7)/$C7)*100</f>
        <v>50.606354717967697</v>
      </c>
      <c r="P59" s="10">
        <f>((P7-$C7)/$C7)*100</f>
        <v>764.18049746334975</v>
      </c>
    </row>
    <row r="60" spans="3:16" x14ac:dyDescent="0.25">
      <c r="C60" s="16" t="s">
        <v>38</v>
      </c>
      <c r="D60" s="10">
        <f>((D8-$C8)/$C8)*100</f>
        <v>-6.1062119553996101</v>
      </c>
      <c r="E60" s="10">
        <f>((E8-$C8)/$C8)*100</f>
        <v>16.699472858087848</v>
      </c>
      <c r="F60" s="10">
        <f>((F8-$C8)/$C8)*100</f>
        <v>133.57469157577469</v>
      </c>
      <c r="G60" s="10">
        <f>((G8-$C8)/$C8)*100</f>
        <v>213.86600774937611</v>
      </c>
      <c r="H60" s="10">
        <f>((H8-$C8)/$C8)*100</f>
        <v>-1.8867997932835279</v>
      </c>
      <c r="I60" s="10">
        <f>((I8-$C8)/$C8)*100</f>
        <v>-2.8699969800628463E-4</v>
      </c>
      <c r="J60" s="10">
        <f>((J8-$C8)/$C8)*100</f>
        <v>-5.0093118646503276</v>
      </c>
      <c r="K60" s="10">
        <f>((K8-$C8)/$C8)*100</f>
        <v>91.95956952341308</v>
      </c>
      <c r="L60" s="10">
        <f>((L8-$C8)/$C8)*100</f>
        <v>67.583754005798596</v>
      </c>
      <c r="M60" s="10">
        <f>((M8-$C8)/$C8)*100</f>
        <v>27.13143993042133</v>
      </c>
      <c r="N60" s="10">
        <f>((N8-$C8)/$C8)*100</f>
        <v>-30.521257142864261</v>
      </c>
      <c r="O60" s="10">
        <f>((O8-$C8)/$C8)*100</f>
        <v>425.46027257700734</v>
      </c>
      <c r="P60" s="10">
        <f>((P8-$C8)/$C8)*100</f>
        <v>132.32857715307688</v>
      </c>
    </row>
    <row r="61" spans="3:16" x14ac:dyDescent="0.25">
      <c r="C61" s="16" t="s">
        <v>39</v>
      </c>
      <c r="D61" s="10">
        <f>((D9-$C9)/$C9)*100</f>
        <v>37.230272296319036</v>
      </c>
      <c r="E61" s="10">
        <f>((E9-$C9)/$C9)*100</f>
        <v>-6.8867784064323034</v>
      </c>
      <c r="F61" s="10">
        <f>((F9-$C9)/$C9)*100</f>
        <v>-36.10269420209714</v>
      </c>
      <c r="G61" s="10">
        <f>((G9-$C9)/$C9)*100</f>
        <v>22.192452849382104</v>
      </c>
      <c r="H61" s="10">
        <f>((H9-$C9)/$C9)*100</f>
        <v>0.73837857733366508</v>
      </c>
      <c r="I61" s="10">
        <f>((I9-$C9)/$C9)*100</f>
        <v>-15.506470320589177</v>
      </c>
      <c r="J61" s="10">
        <f>((J9-$C9)/$C9)*100</f>
        <v>7.087770802776193</v>
      </c>
      <c r="K61" s="10">
        <f>((K9-$C9)/$C9)*100</f>
        <v>-21.641136960128545</v>
      </c>
      <c r="L61" s="10">
        <f>((L9-$C9)/$C9)*100</f>
        <v>-31.148781306585942</v>
      </c>
      <c r="M61" s="10">
        <f>((M9-$C9)/$C9)*100</f>
        <v>-15.23343647868089</v>
      </c>
      <c r="N61" s="10">
        <f>((N9-$C9)/$C9)*100</f>
        <v>-31.859601025411582</v>
      </c>
      <c r="O61" s="10">
        <f>((O9-$C9)/$C9)*100</f>
        <v>89.478966487318147</v>
      </c>
      <c r="P61" s="10">
        <f>((P9-$C9)/$C9)*100</f>
        <v>449.98987350668813</v>
      </c>
    </row>
    <row r="62" spans="3:16" x14ac:dyDescent="0.25">
      <c r="C62" s="6" t="s">
        <v>40</v>
      </c>
      <c r="D62" s="10">
        <f>((D10-$C10)/$C10)*100</f>
        <v>21.050361423307397</v>
      </c>
      <c r="E62" s="10">
        <f>((E10-$C10)/$C10)*100</f>
        <v>-17.576057522914983</v>
      </c>
      <c r="F62" s="10">
        <f>((F10-$C10)/$C10)*100</f>
        <v>-35.67542152002413</v>
      </c>
      <c r="G62" s="10">
        <f>((G10-$C10)/$C10)*100</f>
        <v>-2.936415552176268</v>
      </c>
      <c r="H62" s="10">
        <f>((H10-$C10)/$C10)*100</f>
        <v>0.53203674835701109</v>
      </c>
      <c r="I62" s="10">
        <f>((I10-$C10)/$C10)*100</f>
        <v>1.5767142915584236</v>
      </c>
      <c r="J62" s="10">
        <f>((J10-$C10)/$C10)*100</f>
        <v>19.292893427776772</v>
      </c>
      <c r="K62" s="10">
        <f>((K10-$C10)/$C10)*100</f>
        <v>26.966976638010987</v>
      </c>
      <c r="L62" s="10">
        <f>((L10-$C10)/$C10)*100</f>
        <v>15.394494067100981</v>
      </c>
      <c r="M62" s="10">
        <f>((M10-$C10)/$C10)*100</f>
        <v>46.214924971068527</v>
      </c>
      <c r="N62" s="10">
        <f>((N10-$C10)/$C10)*100</f>
        <v>53.243700989999724</v>
      </c>
      <c r="O62" s="10">
        <f>((O10-$C10)/$C10)*100</f>
        <v>39.624923818208678</v>
      </c>
      <c r="P62" s="10">
        <f>((P10-$C10)/$C10)*100</f>
        <v>313.57120782743556</v>
      </c>
    </row>
    <row r="63" spans="3:16" x14ac:dyDescent="0.25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3:16" x14ac:dyDescent="0.25">
      <c r="C64" s="27" t="s">
        <v>46</v>
      </c>
      <c r="D64" s="27">
        <f>((D$12-$C$12)/$C$12)*100</f>
        <v>21.050361423307383</v>
      </c>
      <c r="E64" s="27">
        <f t="shared" ref="E64:P64" si="45">((E$12-$C$12)/$C$12)*100</f>
        <v>-17.576057522914983</v>
      </c>
      <c r="F64" s="27">
        <f t="shared" si="45"/>
        <v>-35.675421520024123</v>
      </c>
      <c r="G64" s="27">
        <f t="shared" si="45"/>
        <v>-2.9364155521762618</v>
      </c>
      <c r="H64" s="27">
        <f t="shared" si="45"/>
        <v>0.53203674835700909</v>
      </c>
      <c r="I64" s="27">
        <f t="shared" si="45"/>
        <v>-8.5809571375973999</v>
      </c>
      <c r="J64" s="27">
        <f t="shared" si="45"/>
        <v>-4.5656852577785783</v>
      </c>
      <c r="K64" s="27">
        <f t="shared" si="45"/>
        <v>-11.123116353392307</v>
      </c>
      <c r="L64" s="27">
        <f t="shared" si="45"/>
        <v>-30.763303559739409</v>
      </c>
      <c r="M64" s="27">
        <f t="shared" si="45"/>
        <v>-26.892537514465729</v>
      </c>
      <c r="N64" s="27">
        <f t="shared" si="45"/>
        <v>-38.702519604000109</v>
      </c>
      <c r="O64" s="27">
        <f t="shared" si="45"/>
        <v>39.624923818208671</v>
      </c>
      <c r="P64" s="27">
        <f t="shared" si="45"/>
        <v>313.5712078274355</v>
      </c>
    </row>
    <row r="65" spans="3:16" ht="15.75" x14ac:dyDescent="0.25">
      <c r="C65" s="12"/>
      <c r="D65" s="25" t="s">
        <v>3</v>
      </c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</row>
    <row r="66" spans="3:16" x14ac:dyDescent="0.25">
      <c r="C66" s="17" t="s">
        <v>6</v>
      </c>
      <c r="D66" s="9">
        <f>((D14-$C14)/$C14)*100</f>
        <v>-1.8181818181818181</v>
      </c>
      <c r="E66" s="9">
        <f t="shared" ref="E66:K66" si="46">((E14-$C14)/$C14)*100</f>
        <v>-42.545454545454547</v>
      </c>
      <c r="F66" s="9">
        <f t="shared" si="46"/>
        <v>-21.09090909090909</v>
      </c>
      <c r="G66" s="9">
        <f t="shared" si="46"/>
        <v>64.363636363636374</v>
      </c>
      <c r="H66" s="9">
        <f t="shared" si="46"/>
        <v>0</v>
      </c>
      <c r="I66" s="9">
        <f t="shared" si="46"/>
        <v>0.36363636363636365</v>
      </c>
      <c r="J66" s="9">
        <f t="shared" si="46"/>
        <v>0.36363636363636365</v>
      </c>
      <c r="K66" s="9">
        <f t="shared" si="46"/>
        <v>-32.36363636363636</v>
      </c>
      <c r="L66" s="9">
        <f>((L14-$C14)/$C14)*100</f>
        <v>-32.36363636363636</v>
      </c>
      <c r="M66" s="9">
        <f>((M14-$C14)/$C14)*100</f>
        <v>-32.36363636363636</v>
      </c>
      <c r="N66" s="9">
        <f>((N14-$C14)/$C14)*100</f>
        <v>-31.636363636363633</v>
      </c>
      <c r="O66" s="9">
        <f>((O14-$C14)/$C14)*100</f>
        <v>13.090909090909092</v>
      </c>
      <c r="P66" s="9">
        <f>((P14-$C14)/$C14)*100</f>
        <v>168.72727272727272</v>
      </c>
    </row>
    <row r="67" spans="3:16" x14ac:dyDescent="0.25">
      <c r="C67" s="16" t="s">
        <v>7</v>
      </c>
      <c r="D67" s="10">
        <f t="shared" ref="D67:K72" si="47">((D15-$C15)/$C15)*100</f>
        <v>0</v>
      </c>
      <c r="E67" s="10">
        <f t="shared" si="47"/>
        <v>0</v>
      </c>
      <c r="F67" s="10">
        <f t="shared" si="47"/>
        <v>-100</v>
      </c>
      <c r="G67" s="10">
        <f t="shared" si="47"/>
        <v>-100</v>
      </c>
      <c r="H67" s="10">
        <f t="shared" si="47"/>
        <v>0</v>
      </c>
      <c r="I67" s="10">
        <f t="shared" si="47"/>
        <v>0</v>
      </c>
      <c r="J67" s="10">
        <f t="shared" si="47"/>
        <v>0</v>
      </c>
      <c r="K67" s="10">
        <f t="shared" si="47"/>
        <v>0</v>
      </c>
      <c r="L67" s="10">
        <f t="shared" ref="L67:M67" si="48">((L15-$C15)/$C15)*100</f>
        <v>0</v>
      </c>
      <c r="M67" s="10">
        <f t="shared" si="48"/>
        <v>0</v>
      </c>
      <c r="N67" s="10">
        <f t="shared" ref="N67:O67" si="49">((N15-$C15)/$C15)*100</f>
        <v>0</v>
      </c>
      <c r="O67" s="10">
        <f t="shared" si="49"/>
        <v>-100</v>
      </c>
      <c r="P67" s="10">
        <f t="shared" ref="P67" si="50">((P15-$C15)/$C15)*100</f>
        <v>-100</v>
      </c>
    </row>
    <row r="68" spans="3:16" x14ac:dyDescent="0.25">
      <c r="C68" s="16" t="s">
        <v>8</v>
      </c>
      <c r="D68" s="10">
        <f t="shared" si="47"/>
        <v>-16.25</v>
      </c>
      <c r="E68" s="10">
        <f t="shared" si="47"/>
        <v>-33.75</v>
      </c>
      <c r="F68" s="10">
        <f t="shared" si="47"/>
        <v>-23.75</v>
      </c>
      <c r="G68" s="10">
        <f t="shared" si="47"/>
        <v>121.24999999999999</v>
      </c>
      <c r="H68" s="10">
        <f t="shared" si="47"/>
        <v>0</v>
      </c>
      <c r="I68" s="10">
        <f t="shared" si="47"/>
        <v>41.25</v>
      </c>
      <c r="J68" s="10">
        <f t="shared" si="47"/>
        <v>41.25</v>
      </c>
      <c r="K68" s="10">
        <f t="shared" si="47"/>
        <v>38.75</v>
      </c>
      <c r="L68" s="10">
        <f t="shared" ref="L68:M68" si="51">((L16-$C16)/$C16)*100</f>
        <v>50.625</v>
      </c>
      <c r="M68" s="10">
        <f t="shared" si="51"/>
        <v>61.250000000000007</v>
      </c>
      <c r="N68" s="10">
        <f t="shared" ref="N68:O68" si="52">((N16-$C16)/$C16)*100</f>
        <v>135</v>
      </c>
      <c r="O68" s="10">
        <f t="shared" si="52"/>
        <v>186.25</v>
      </c>
      <c r="P68" s="10">
        <f t="shared" ref="P68" si="53">((P16-$C16)/$C16)*100</f>
        <v>336.875</v>
      </c>
    </row>
    <row r="69" spans="3:16" x14ac:dyDescent="0.25">
      <c r="C69" s="16" t="s">
        <v>27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</v>
      </c>
      <c r="P69" s="10">
        <v>2</v>
      </c>
    </row>
    <row r="70" spans="3:16" x14ac:dyDescent="0.25">
      <c r="C70" s="16" t="s">
        <v>9</v>
      </c>
      <c r="D70" s="10">
        <f t="shared" si="47"/>
        <v>0</v>
      </c>
      <c r="E70" s="10">
        <f t="shared" si="47"/>
        <v>0</v>
      </c>
      <c r="F70" s="10">
        <f t="shared" si="47"/>
        <v>100</v>
      </c>
      <c r="G70" s="10">
        <f t="shared" si="47"/>
        <v>100</v>
      </c>
      <c r="H70" s="10">
        <f t="shared" si="47"/>
        <v>0</v>
      </c>
      <c r="I70" s="10">
        <f t="shared" si="47"/>
        <v>0</v>
      </c>
      <c r="J70" s="10">
        <f t="shared" si="47"/>
        <v>0</v>
      </c>
      <c r="K70" s="10">
        <f t="shared" si="47"/>
        <v>100</v>
      </c>
      <c r="L70" s="10">
        <f t="shared" ref="L70:M70" si="54">((L18-$C18)/$C18)*100</f>
        <v>100</v>
      </c>
      <c r="M70" s="10">
        <f t="shared" si="54"/>
        <v>100</v>
      </c>
      <c r="N70" s="10">
        <f t="shared" ref="N70:O70" si="55">((N18-$C18)/$C18)*100</f>
        <v>100</v>
      </c>
      <c r="O70" s="10">
        <f t="shared" si="55"/>
        <v>0</v>
      </c>
      <c r="P70" s="10">
        <f t="shared" ref="P70" si="56">((P18-$C18)/$C18)*100</f>
        <v>-100</v>
      </c>
    </row>
    <row r="71" spans="3:16" x14ac:dyDescent="0.25">
      <c r="C71" s="16" t="s">
        <v>10</v>
      </c>
      <c r="D71" s="10">
        <f t="shared" si="47"/>
        <v>0</v>
      </c>
      <c r="E71" s="10">
        <f t="shared" si="47"/>
        <v>0</v>
      </c>
      <c r="F71" s="10">
        <f t="shared" si="47"/>
        <v>0</v>
      </c>
      <c r="G71" s="10">
        <f t="shared" si="47"/>
        <v>0</v>
      </c>
      <c r="H71" s="10">
        <f t="shared" si="47"/>
        <v>0</v>
      </c>
      <c r="I71" s="10">
        <f t="shared" si="47"/>
        <v>0</v>
      </c>
      <c r="J71" s="10">
        <f t="shared" si="47"/>
        <v>0</v>
      </c>
      <c r="K71" s="10">
        <f t="shared" si="47"/>
        <v>0</v>
      </c>
      <c r="L71" s="10">
        <f t="shared" ref="L71:M71" si="57">((L19-$C19)/$C19)*100</f>
        <v>0</v>
      </c>
      <c r="M71" s="10">
        <f t="shared" si="57"/>
        <v>0</v>
      </c>
      <c r="N71" s="10">
        <f t="shared" ref="N71:O71" si="58">((N19-$C19)/$C19)*100</f>
        <v>0</v>
      </c>
      <c r="O71" s="10">
        <f t="shared" si="58"/>
        <v>0</v>
      </c>
      <c r="P71" s="10">
        <f t="shared" ref="P71" si="59">((P19-$C19)/$C19)*100</f>
        <v>30.985915492957744</v>
      </c>
    </row>
    <row r="72" spans="3:16" x14ac:dyDescent="0.25">
      <c r="C72" s="6" t="s">
        <v>11</v>
      </c>
      <c r="D72" s="11">
        <f t="shared" si="47"/>
        <v>0</v>
      </c>
      <c r="E72" s="11">
        <f t="shared" si="47"/>
        <v>0</v>
      </c>
      <c r="F72" s="11">
        <f t="shared" si="47"/>
        <v>0</v>
      </c>
      <c r="G72" s="11">
        <f t="shared" si="47"/>
        <v>0</v>
      </c>
      <c r="H72" s="11">
        <f t="shared" si="47"/>
        <v>0</v>
      </c>
      <c r="I72" s="11">
        <f t="shared" si="47"/>
        <v>0</v>
      </c>
      <c r="J72" s="11">
        <f t="shared" si="47"/>
        <v>0</v>
      </c>
      <c r="K72" s="11">
        <f t="shared" si="47"/>
        <v>0</v>
      </c>
      <c r="L72" s="11">
        <f t="shared" ref="L72:M72" si="60">((L20-$C20)/$C20)*100</f>
        <v>0</v>
      </c>
      <c r="M72" s="11">
        <f t="shared" si="60"/>
        <v>0</v>
      </c>
      <c r="N72" s="11">
        <f t="shared" ref="N72:O72" si="61">((N20-$C20)/$C20)*100</f>
        <v>0</v>
      </c>
      <c r="O72" s="11">
        <f t="shared" si="61"/>
        <v>0</v>
      </c>
      <c r="P72" s="11">
        <f t="shared" ref="P72" si="62">((P20-$C20)/$C20)*100</f>
        <v>0</v>
      </c>
    </row>
    <row r="73" spans="3:16" ht="15.75" x14ac:dyDescent="0.25">
      <c r="C73" s="18"/>
      <c r="D73" s="20" t="s">
        <v>21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3:16" x14ac:dyDescent="0.25">
      <c r="C74" s="17" t="s">
        <v>32</v>
      </c>
      <c r="D74" s="9">
        <f>((D22-$C22)/$C22)*100</f>
        <v>-2.2727272727272729</v>
      </c>
      <c r="E74" s="9">
        <f t="shared" ref="E74:L74" si="63">((E22-$C22)/$C22)*100</f>
        <v>52.272727272727273</v>
      </c>
      <c r="F74" s="9">
        <f t="shared" si="63"/>
        <v>-20.454545454545457</v>
      </c>
      <c r="G74" s="9">
        <f t="shared" si="63"/>
        <v>-43.18181818181818</v>
      </c>
      <c r="H74" s="9">
        <f t="shared" si="63"/>
        <v>0</v>
      </c>
      <c r="I74" s="9">
        <f t="shared" si="63"/>
        <v>13.636363636363635</v>
      </c>
      <c r="J74" s="9">
        <f t="shared" si="63"/>
        <v>0</v>
      </c>
      <c r="K74" s="9">
        <f t="shared" si="63"/>
        <v>6.8181818181818175</v>
      </c>
      <c r="L74" s="9">
        <f t="shared" si="63"/>
        <v>20.454545454545457</v>
      </c>
      <c r="M74" s="9">
        <f t="shared" ref="M74:N74" si="64">((M22-$C22)/$C22)*100</f>
        <v>0</v>
      </c>
      <c r="N74" s="9">
        <f t="shared" si="64"/>
        <v>20.454545454545457</v>
      </c>
      <c r="O74" s="9">
        <f t="shared" ref="O74:P74" si="65">((O22-$C22)/$C22)*100</f>
        <v>-63.636363636363633</v>
      </c>
      <c r="P74" s="9">
        <f t="shared" si="65"/>
        <v>-75</v>
      </c>
    </row>
    <row r="75" spans="3:16" x14ac:dyDescent="0.25">
      <c r="C75" s="16" t="s">
        <v>5</v>
      </c>
      <c r="D75" s="10">
        <f t="shared" ref="D75:L77" si="66">((D23-$C23)/$C23)*100</f>
        <v>0</v>
      </c>
      <c r="E75" s="10">
        <f t="shared" si="66"/>
        <v>0</v>
      </c>
      <c r="F75" s="10">
        <f t="shared" si="66"/>
        <v>0</v>
      </c>
      <c r="G75" s="10">
        <f t="shared" si="66"/>
        <v>0</v>
      </c>
      <c r="H75" s="10">
        <f t="shared" si="66"/>
        <v>0</v>
      </c>
      <c r="I75" s="10">
        <f t="shared" si="66"/>
        <v>-10</v>
      </c>
      <c r="J75" s="10">
        <f t="shared" si="66"/>
        <v>-20</v>
      </c>
      <c r="K75" s="10">
        <f t="shared" si="66"/>
        <v>-30</v>
      </c>
      <c r="L75" s="10">
        <f t="shared" si="66"/>
        <v>-40</v>
      </c>
      <c r="M75" s="10">
        <f t="shared" ref="M75:N75" si="67">((M23-$C23)/$C23)*100</f>
        <v>-50</v>
      </c>
      <c r="N75" s="10">
        <f t="shared" si="67"/>
        <v>-60</v>
      </c>
      <c r="O75" s="10">
        <f t="shared" ref="O75:P75" si="68">((O23-$C23)/$C23)*100</f>
        <v>0</v>
      </c>
      <c r="P75" s="10">
        <f t="shared" si="68"/>
        <v>0</v>
      </c>
    </row>
    <row r="76" spans="3:16" x14ac:dyDescent="0.25">
      <c r="C76" s="16" t="s">
        <v>4</v>
      </c>
      <c r="D76" s="10">
        <f t="shared" si="66"/>
        <v>-15.873015873015875</v>
      </c>
      <c r="E76" s="10">
        <f t="shared" si="66"/>
        <v>-5.1997810618500262</v>
      </c>
      <c r="F76" s="10">
        <f t="shared" si="66"/>
        <v>15.024630541871931</v>
      </c>
      <c r="G76" s="10">
        <f t="shared" si="66"/>
        <v>-32.348111658456489</v>
      </c>
      <c r="H76" s="10">
        <f t="shared" si="66"/>
        <v>0</v>
      </c>
      <c r="I76" s="10">
        <f t="shared" si="66"/>
        <v>-16.256157635467979</v>
      </c>
      <c r="J76" s="10">
        <f t="shared" si="66"/>
        <v>-37.684729064039402</v>
      </c>
      <c r="K76" s="10">
        <f t="shared" si="66"/>
        <v>-63.601532567049802</v>
      </c>
      <c r="L76" s="10">
        <f t="shared" si="66"/>
        <v>-56.951286261631083</v>
      </c>
      <c r="M76" s="10">
        <f t="shared" ref="M76:N76" si="69">((M24-$C24)/$C24)*100</f>
        <v>-89.764641488779418</v>
      </c>
      <c r="N76" s="10">
        <f t="shared" si="69"/>
        <v>-87.575259989053095</v>
      </c>
      <c r="O76" s="10">
        <f t="shared" ref="O76:P76" si="70">((O24-$C24)/$C24)*100</f>
        <v>15.161466885604824</v>
      </c>
      <c r="P76" s="10">
        <f t="shared" si="70"/>
        <v>-62.534209085933234</v>
      </c>
    </row>
    <row r="77" spans="3:16" x14ac:dyDescent="0.25">
      <c r="C77" s="6" t="s">
        <v>18</v>
      </c>
      <c r="D77" s="11">
        <f t="shared" si="66"/>
        <v>-8.3742419867167204</v>
      </c>
      <c r="E77" s="11">
        <f t="shared" si="66"/>
        <v>-2.9069767441860419</v>
      </c>
      <c r="F77" s="11">
        <f t="shared" si="66"/>
        <v>9.4704157322753151</v>
      </c>
      <c r="G77" s="11">
        <f t="shared" si="66"/>
        <v>-15.701381509032938</v>
      </c>
      <c r="H77" s="11">
        <f t="shared" si="66"/>
        <v>0</v>
      </c>
      <c r="I77" s="11">
        <f t="shared" si="66"/>
        <v>6.8350168350168437</v>
      </c>
      <c r="J77" s="11">
        <f t="shared" si="66"/>
        <v>10.885899004018881</v>
      </c>
      <c r="K77" s="11">
        <f t="shared" si="66"/>
        <v>11.922398589065256</v>
      </c>
      <c r="L77" s="11">
        <f t="shared" si="66"/>
        <v>43.347639484978551</v>
      </c>
      <c r="M77" s="11">
        <f t="shared" ref="M77:N77" si="71">((M25-$C25)/$C25)*100</f>
        <v>37.181150021616929</v>
      </c>
      <c r="N77" s="11">
        <f t="shared" si="71"/>
        <v>78.962210941906392</v>
      </c>
      <c r="O77" s="11">
        <f t="shared" ref="O77:P77" si="72">((O25-$C25)/$C25)*100</f>
        <v>9.5649171270718334</v>
      </c>
      <c r="P77" s="11">
        <f t="shared" si="72"/>
        <v>-26.474336693314793</v>
      </c>
    </row>
  </sheetData>
  <mergeCells count="12">
    <mergeCell ref="B2:B3"/>
    <mergeCell ref="C54:C55"/>
    <mergeCell ref="C28:C29"/>
    <mergeCell ref="C3:P3"/>
    <mergeCell ref="C13:P13"/>
    <mergeCell ref="C21:P21"/>
    <mergeCell ref="D29:P29"/>
    <mergeCell ref="D39:P39"/>
    <mergeCell ref="D47:P47"/>
    <mergeCell ref="D55:P55"/>
    <mergeCell ref="D65:P65"/>
    <mergeCell ref="D73:P73"/>
  </mergeCells>
  <pageMargins left="0.70866141732283472" right="0.70866141732283472" top="0.74803149606299213" bottom="0.74803149606299213" header="0.31496062992125984" footer="0.31496062992125984"/>
  <pageSetup paperSize="9" scale="26" fitToWidth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cp:lastPrinted>2024-05-02T19:56:46Z</cp:lastPrinted>
  <dcterms:created xsi:type="dcterms:W3CDTF">2024-04-30T21:28:54Z</dcterms:created>
  <dcterms:modified xsi:type="dcterms:W3CDTF">2024-05-11T17:41:32Z</dcterms:modified>
</cp:coreProperties>
</file>