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progettazione-low-power\progetti\progetto-3\vivado\"/>
    </mc:Choice>
  </mc:AlternateContent>
  <xr:revisionPtr revIDLastSave="0" documentId="13_ncr:1_{327AD768-BB3D-45F8-80B7-8DA7E20F2726}" xr6:coauthVersionLast="47" xr6:coauthVersionMax="47" xr10:uidLastSave="{00000000-0000-0000-0000-000000000000}"/>
  <bookViews>
    <workbookView xWindow="-28920" yWindow="-120" windowWidth="29040" windowHeight="15720" xr2:uid="{E22A889A-A095-46E2-ACAB-88F50E6B19F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27" i="1"/>
  <c r="E31" i="1"/>
  <c r="E27" i="1"/>
  <c r="F31" i="1"/>
  <c r="F27" i="1"/>
  <c r="G31" i="1"/>
  <c r="G27" i="1"/>
  <c r="H32" i="1"/>
  <c r="H27" i="1"/>
  <c r="H31" i="1"/>
  <c r="H26" i="1"/>
  <c r="G32" i="1"/>
  <c r="G26" i="1"/>
  <c r="F32" i="1"/>
  <c r="F26" i="1"/>
  <c r="E32" i="1"/>
  <c r="E26" i="1"/>
  <c r="D31" i="1"/>
  <c r="D26" i="1"/>
  <c r="C29" i="1"/>
  <c r="E29" i="1" s="1"/>
  <c r="C23" i="1"/>
  <c r="G23" i="1" s="1"/>
  <c r="C22" i="1"/>
  <c r="G22" i="1" s="1"/>
  <c r="C21" i="1"/>
  <c r="G21" i="1" s="1"/>
  <c r="C5" i="1"/>
  <c r="C6" i="1"/>
  <c r="C7" i="1"/>
  <c r="C13" i="1"/>
  <c r="H7" i="1"/>
  <c r="H6" i="1"/>
  <c r="H5" i="1"/>
  <c r="G7" i="1"/>
  <c r="G6" i="1"/>
  <c r="G5" i="1"/>
  <c r="F7" i="1"/>
  <c r="F6" i="1"/>
  <c r="F5" i="1"/>
  <c r="E7" i="1"/>
  <c r="E6" i="1"/>
  <c r="E5" i="1"/>
  <c r="D7" i="1"/>
  <c r="D6" i="1"/>
  <c r="D5" i="1"/>
  <c r="H13" i="1"/>
  <c r="G13" i="1"/>
  <c r="F13" i="1"/>
  <c r="E13" i="1"/>
  <c r="D13" i="1"/>
  <c r="F21" i="1" l="1"/>
  <c r="H21" i="1"/>
  <c r="E22" i="1"/>
  <c r="C24" i="1"/>
  <c r="E24" i="1" s="1"/>
  <c r="D24" i="1"/>
  <c r="G24" i="1"/>
  <c r="F29" i="1"/>
  <c r="G29" i="1"/>
  <c r="D21" i="1"/>
  <c r="H29" i="1"/>
  <c r="E21" i="1"/>
  <c r="D22" i="1"/>
  <c r="D23" i="1"/>
  <c r="F22" i="1"/>
  <c r="C8" i="1"/>
  <c r="H22" i="1"/>
  <c r="F23" i="1"/>
  <c r="E23" i="1"/>
  <c r="H23" i="1"/>
  <c r="D29" i="1"/>
  <c r="D8" i="1"/>
  <c r="H8" i="1"/>
  <c r="G8" i="1"/>
  <c r="F8" i="1"/>
  <c r="E8" i="1"/>
  <c r="H24" i="1" l="1"/>
  <c r="F24" i="1"/>
</calcChain>
</file>

<file path=xl/sharedStrings.xml><?xml version="1.0" encoding="utf-8"?>
<sst xmlns="http://schemas.openxmlformats.org/spreadsheetml/2006/main" count="39" uniqueCount="20">
  <si>
    <t>Non Optimized Design</t>
  </si>
  <si>
    <t>Registering Design</t>
  </si>
  <si>
    <t>Clock Gating Inputs Design</t>
  </si>
  <si>
    <t>Clock Gating All Design</t>
  </si>
  <si>
    <t>Hybrid Clock Gating All and Registering Design</t>
  </si>
  <si>
    <t>Power Analysis</t>
  </si>
  <si>
    <t>Frequency Analysis</t>
  </si>
  <si>
    <t>Timing Analysis</t>
  </si>
  <si>
    <t>Clock Constraint [ns]</t>
  </si>
  <si>
    <t>WNS [ns]</t>
  </si>
  <si>
    <t>LUT [#]</t>
  </si>
  <si>
    <t>FF [#]</t>
  </si>
  <si>
    <t>Resources Utilization Analysis</t>
  </si>
  <si>
    <t>Maximum Clock Frequency [MHz]</t>
  </si>
  <si>
    <t>Clocks Power [mW]</t>
  </si>
  <si>
    <t>Signals Data Power [mW]</t>
  </si>
  <si>
    <t>Logic Power [mW]</t>
  </si>
  <si>
    <t>Total Power [mW]</t>
  </si>
  <si>
    <t>Clock Gating Selectors Design</t>
  </si>
  <si>
    <t>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</si>
</sst>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92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C09200"/>
      <color rgb="FFD2A000"/>
      <color rgb="FFEEB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Foglio1!$B$5</c:f>
              <c:strCache>
                <c:ptCount val="1"/>
                <c:pt idx="0">
                  <c:v>Clocks Power [mW]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Foglio1!$C$3:$H$3</c:f>
              <c:strCache>
                <c:ptCount val="6"/>
                <c:pt idx="0">
                  <c:v>Non Optimized Design</c:v>
                </c:pt>
                <c:pt idx="1">
                  <c:v>Registering Design</c:v>
                </c:pt>
                <c:pt idx="2">
                  <c:v>Clock Gating Selectors Design</c:v>
                </c:pt>
                <c:pt idx="3">
                  <c:v>Clock Gating Inputs Design</c:v>
                </c:pt>
                <c:pt idx="4">
                  <c:v>Clock Gating All Design</c:v>
                </c:pt>
                <c:pt idx="5">
                  <c:v>Hybrid Clock Gating All and Registering Design</c:v>
                </c:pt>
              </c:strCache>
            </c:strRef>
          </c:cat>
          <c:val>
            <c:numRef>
              <c:f>Foglio1!$C$5:$H$5</c:f>
              <c:numCache>
                <c:formatCode>General</c:formatCode>
                <c:ptCount val="6"/>
                <c:pt idx="0">
                  <c:v>1.7108991742134101</c:v>
                </c:pt>
                <c:pt idx="1">
                  <c:v>2.5287989992648403</c:v>
                </c:pt>
                <c:pt idx="2">
                  <c:v>1.58879917580634</c:v>
                </c:pt>
                <c:pt idx="3">
                  <c:v>2.03909818083048</c:v>
                </c:pt>
                <c:pt idx="4">
                  <c:v>1.48880027700216</c:v>
                </c:pt>
                <c:pt idx="5">
                  <c:v>2.01009842567146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B-4EA6-A604-B4CB05823DB1}"/>
            </c:ext>
          </c:extLst>
        </c:ser>
        <c:ser>
          <c:idx val="1"/>
          <c:order val="1"/>
          <c:tx>
            <c:strRef>
              <c:f>Foglio1!$B$6</c:f>
              <c:strCache>
                <c:ptCount val="1"/>
                <c:pt idx="0">
                  <c:v>Signals Data Power [mW]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Foglio1!$C$6:$H$6</c:f>
              <c:numCache>
                <c:formatCode>General</c:formatCode>
                <c:ptCount val="6"/>
                <c:pt idx="0">
                  <c:v>8.2017192617058807</c:v>
                </c:pt>
                <c:pt idx="1">
                  <c:v>7.1427957154810402</c:v>
                </c:pt>
                <c:pt idx="2">
                  <c:v>8.1042144447565096</c:v>
                </c:pt>
                <c:pt idx="3">
                  <c:v>8.0843381583690608</c:v>
                </c:pt>
                <c:pt idx="4">
                  <c:v>8.0169141292572004</c:v>
                </c:pt>
                <c:pt idx="5">
                  <c:v>7.0602511987090102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3B-4EA6-A604-B4CB05823DB1}"/>
            </c:ext>
          </c:extLst>
        </c:ser>
        <c:ser>
          <c:idx val="2"/>
          <c:order val="2"/>
          <c:tx>
            <c:strRef>
              <c:f>Foglio1!$B$7</c:f>
              <c:strCache>
                <c:ptCount val="1"/>
                <c:pt idx="0">
                  <c:v>Logic Power [mW]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Foglio1!$C$7:$H$7</c:f>
              <c:numCache>
                <c:formatCode>General</c:formatCode>
                <c:ptCount val="6"/>
                <c:pt idx="0">
                  <c:v>3.8697000127285701</c:v>
                </c:pt>
                <c:pt idx="1">
                  <c:v>2.55344109609723</c:v>
                </c:pt>
                <c:pt idx="2">
                  <c:v>3.68808512575924</c:v>
                </c:pt>
                <c:pt idx="3">
                  <c:v>3.8097926881164299</c:v>
                </c:pt>
                <c:pt idx="4">
                  <c:v>3.4701528493314999</c:v>
                </c:pt>
                <c:pt idx="5">
                  <c:v>2.4122339673340298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3B-4EA6-A604-B4CB05823DB1}"/>
            </c:ext>
          </c:extLst>
        </c:ser>
        <c:ser>
          <c:idx val="3"/>
          <c:order val="3"/>
          <c:tx>
            <c:strRef>
              <c:f>Foglio1!$B$8</c:f>
              <c:strCache>
                <c:ptCount val="1"/>
                <c:pt idx="0">
                  <c:v>Total Power [mW]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Foglio1!$C$8:$H$8</c:f>
              <c:numCache>
                <c:formatCode>General</c:formatCode>
                <c:ptCount val="6"/>
                <c:pt idx="0">
                  <c:v>13.78231844864786</c:v>
                </c:pt>
                <c:pt idx="1">
                  <c:v>12.22503581084311</c:v>
                </c:pt>
                <c:pt idx="2">
                  <c:v>13.38109874632209</c:v>
                </c:pt>
                <c:pt idx="3">
                  <c:v>13.933229027315971</c:v>
                </c:pt>
                <c:pt idx="4">
                  <c:v>12.97586725559086</c:v>
                </c:pt>
                <c:pt idx="5">
                  <c:v>11.4825835917145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3B-4EA6-A604-B4CB05823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310687"/>
        <c:axId val="358644431"/>
      </c:lineChart>
      <c:catAx>
        <c:axId val="35731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44431"/>
        <c:crosses val="autoZero"/>
        <c:auto val="1"/>
        <c:lblAlgn val="ctr"/>
        <c:lblOffset val="100"/>
        <c:noMultiLvlLbl val="0"/>
      </c:catAx>
      <c:valAx>
        <c:axId val="358644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1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ABSOLUTE ERROR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Foglio1!$B$21</c:f>
              <c:strCache>
                <c:ptCount val="1"/>
                <c:pt idx="0">
                  <c:v>Clocks Power [mW]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Foglio1!$D$19:$H$19</c:f>
              <c:strCache>
                <c:ptCount val="5"/>
                <c:pt idx="0">
                  <c:v>Registering Design</c:v>
                </c:pt>
                <c:pt idx="1">
                  <c:v>Clock Gating Selectors Design</c:v>
                </c:pt>
                <c:pt idx="2">
                  <c:v>Clock Gating Inputs Design</c:v>
                </c:pt>
                <c:pt idx="3">
                  <c:v>Clock Gating All Design</c:v>
                </c:pt>
                <c:pt idx="4">
                  <c:v>Hybrid Clock Gating All and Registering Design</c:v>
                </c:pt>
              </c:strCache>
            </c:strRef>
          </c:cat>
          <c:val>
            <c:numRef>
              <c:f>Foglio1!$D$21:$H$21</c:f>
              <c:numCache>
                <c:formatCode>General</c:formatCode>
                <c:ptCount val="5"/>
                <c:pt idx="0">
                  <c:v>0.81789982505143022</c:v>
                </c:pt>
                <c:pt idx="1">
                  <c:v>-0.12209999840707009</c:v>
                </c:pt>
                <c:pt idx="2">
                  <c:v>0.32819900661706991</c:v>
                </c:pt>
                <c:pt idx="3">
                  <c:v>-0.22209889721125009</c:v>
                </c:pt>
                <c:pt idx="4">
                  <c:v>0.29919925145804993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E-4BFD-8885-30C938C7F9FA}"/>
            </c:ext>
          </c:extLst>
        </c:ser>
        <c:ser>
          <c:idx val="1"/>
          <c:order val="1"/>
          <c:tx>
            <c:strRef>
              <c:f>Foglio1!$B$22</c:f>
              <c:strCache>
                <c:ptCount val="1"/>
                <c:pt idx="0">
                  <c:v>Signals Data Power [mW]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Foglio1!$D$22:$H$22</c:f>
              <c:numCache>
                <c:formatCode>General</c:formatCode>
                <c:ptCount val="5"/>
                <c:pt idx="0">
                  <c:v>-1.0589235462248405</c:v>
                </c:pt>
                <c:pt idx="1">
                  <c:v>-9.7504816949371076E-2</c:v>
                </c:pt>
                <c:pt idx="2">
                  <c:v>-0.11738110333681995</c:v>
                </c:pt>
                <c:pt idx="3">
                  <c:v>-0.18480513244868035</c:v>
                </c:pt>
                <c:pt idx="4">
                  <c:v>-1.1414680629968705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4E-4BFD-8885-30C938C7F9FA}"/>
            </c:ext>
          </c:extLst>
        </c:ser>
        <c:ser>
          <c:idx val="2"/>
          <c:order val="2"/>
          <c:tx>
            <c:strRef>
              <c:f>Foglio1!$B$23</c:f>
              <c:strCache>
                <c:ptCount val="1"/>
                <c:pt idx="0">
                  <c:v>Logic Power [mW]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Foglio1!$D$23:$H$23</c:f>
              <c:numCache>
                <c:formatCode>General</c:formatCode>
                <c:ptCount val="5"/>
                <c:pt idx="0">
                  <c:v>-1.3162589166313401</c:v>
                </c:pt>
                <c:pt idx="1">
                  <c:v>-0.18161488696933015</c:v>
                </c:pt>
                <c:pt idx="2">
                  <c:v>-5.9907324612140211E-2</c:v>
                </c:pt>
                <c:pt idx="3">
                  <c:v>-0.39954716339707019</c:v>
                </c:pt>
                <c:pt idx="4">
                  <c:v>-1.4574660453945403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4E-4BFD-8885-30C938C7F9FA}"/>
            </c:ext>
          </c:extLst>
        </c:ser>
        <c:ser>
          <c:idx val="3"/>
          <c:order val="3"/>
          <c:tx>
            <c:strRef>
              <c:f>Foglio1!$B$24</c:f>
              <c:strCache>
                <c:ptCount val="1"/>
                <c:pt idx="0">
                  <c:v>Total Power [mW]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Foglio1!$D$24:$H$24</c:f>
              <c:numCache>
                <c:formatCode>General</c:formatCode>
                <c:ptCount val="5"/>
                <c:pt idx="0">
                  <c:v>-1.5572826378047502</c:v>
                </c:pt>
                <c:pt idx="1">
                  <c:v>-0.4012197023257702</c:v>
                </c:pt>
                <c:pt idx="2">
                  <c:v>0.15091057866811042</c:v>
                </c:pt>
                <c:pt idx="3">
                  <c:v>-0.80645119305700064</c:v>
                </c:pt>
                <c:pt idx="4">
                  <c:v>-2.2997348569333607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4E-4BFD-8885-30C938C7F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7296767"/>
        <c:axId val="171019839"/>
      </c:barChart>
      <c:catAx>
        <c:axId val="3572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9839"/>
        <c:crosses val="autoZero"/>
        <c:auto val="1"/>
        <c:lblAlgn val="ctr"/>
        <c:lblOffset val="100"/>
        <c:noMultiLvlLbl val="0"/>
      </c:catAx>
      <c:valAx>
        <c:axId val="17101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9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 UTILIZATION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Foglio1!$B$15</c:f>
              <c:strCache>
                <c:ptCount val="1"/>
                <c:pt idx="0">
                  <c:v>LUT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Foglio1!$C$3:$H$3</c:f>
              <c:strCache>
                <c:ptCount val="6"/>
                <c:pt idx="0">
                  <c:v>Non Optimized Design</c:v>
                </c:pt>
                <c:pt idx="1">
                  <c:v>Registering Design</c:v>
                </c:pt>
                <c:pt idx="2">
                  <c:v>Clock Gating Selectors Design</c:v>
                </c:pt>
                <c:pt idx="3">
                  <c:v>Clock Gating Inputs Design</c:v>
                </c:pt>
                <c:pt idx="4">
                  <c:v>Clock Gating All Design</c:v>
                </c:pt>
                <c:pt idx="5">
                  <c:v>Hybrid Clock Gating All and Registering Design</c:v>
                </c:pt>
              </c:strCache>
            </c:strRef>
          </c:cat>
          <c:val>
            <c:numRef>
              <c:f>Foglio1!$C$15:$H$15</c:f>
              <c:numCache>
                <c:formatCode>General</c:formatCode>
                <c:ptCount val="6"/>
                <c:pt idx="0">
                  <c:v>132</c:v>
                </c:pt>
                <c:pt idx="1">
                  <c:v>132</c:v>
                </c:pt>
                <c:pt idx="2">
                  <c:v>122</c:v>
                </c:pt>
                <c:pt idx="3">
                  <c:v>125</c:v>
                </c:pt>
                <c:pt idx="4">
                  <c:v>125</c:v>
                </c:pt>
                <c:pt idx="5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6-45D5-A531-80F1AD49BE9A}"/>
            </c:ext>
          </c:extLst>
        </c:ser>
        <c:ser>
          <c:idx val="1"/>
          <c:order val="1"/>
          <c:tx>
            <c:strRef>
              <c:f>Foglio1!$B$16</c:f>
              <c:strCache>
                <c:ptCount val="1"/>
                <c:pt idx="0">
                  <c:v>FF [#]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Foglio1!$C$16:$H$16</c:f>
              <c:numCache>
                <c:formatCode>General</c:formatCode>
                <c:ptCount val="6"/>
                <c:pt idx="0">
                  <c:v>177</c:v>
                </c:pt>
                <c:pt idx="1">
                  <c:v>253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6-45D5-A531-80F1AD49B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997679"/>
        <c:axId val="478106671"/>
      </c:lineChart>
      <c:catAx>
        <c:axId val="34999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6671"/>
        <c:crosses val="autoZero"/>
        <c:auto val="1"/>
        <c:lblAlgn val="ctr"/>
        <c:lblOffset val="100"/>
        <c:noMultiLvlLbl val="0"/>
      </c:catAx>
      <c:valAx>
        <c:axId val="478106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9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 UTILIZATION ABSOLUTE ERROR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Foglio1!$B$31</c:f>
              <c:strCache>
                <c:ptCount val="1"/>
                <c:pt idx="0">
                  <c:v>LUT [#]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Foglio1!$D$19:$H$19</c:f>
              <c:strCache>
                <c:ptCount val="5"/>
                <c:pt idx="0">
                  <c:v>Registering Design</c:v>
                </c:pt>
                <c:pt idx="1">
                  <c:v>Clock Gating Selectors Design</c:v>
                </c:pt>
                <c:pt idx="2">
                  <c:v>Clock Gating Inputs Design</c:v>
                </c:pt>
                <c:pt idx="3">
                  <c:v>Clock Gating All Design</c:v>
                </c:pt>
                <c:pt idx="4">
                  <c:v>Hybrid Clock Gating All and Registering Design</c:v>
                </c:pt>
              </c:strCache>
            </c:strRef>
          </c:cat>
          <c:val>
            <c:numRef>
              <c:f>Foglio1!$D$31:$H$31</c:f>
              <c:numCache>
                <c:formatCode>General</c:formatCode>
                <c:ptCount val="5"/>
                <c:pt idx="0">
                  <c:v>0</c:v>
                </c:pt>
                <c:pt idx="1">
                  <c:v>-10</c:v>
                </c:pt>
                <c:pt idx="2">
                  <c:v>-7</c:v>
                </c:pt>
                <c:pt idx="3">
                  <c:v>-7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F-47F9-80B9-772D69D13FD6}"/>
            </c:ext>
          </c:extLst>
        </c:ser>
        <c:ser>
          <c:idx val="1"/>
          <c:order val="1"/>
          <c:tx>
            <c:strRef>
              <c:f>Foglio1!$B$32</c:f>
              <c:strCache>
                <c:ptCount val="1"/>
                <c:pt idx="0">
                  <c:v>FF [#]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Foglio1!$D$32:$H$32</c:f>
              <c:numCache>
                <c:formatCode>General</c:formatCode>
                <c:ptCount val="5"/>
                <c:pt idx="0">
                  <c:v>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F-47F9-80B9-772D69D13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9988079"/>
        <c:axId val="344796255"/>
      </c:barChart>
      <c:catAx>
        <c:axId val="34998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96255"/>
        <c:crosses val="autoZero"/>
        <c:auto val="1"/>
        <c:lblAlgn val="ctr"/>
        <c:lblOffset val="100"/>
        <c:noMultiLvlLbl val="0"/>
      </c:catAx>
      <c:valAx>
        <c:axId val="34479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8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2</xdr:row>
      <xdr:rowOff>14286</xdr:rowOff>
    </xdr:from>
    <xdr:to>
      <xdr:col>13</xdr:col>
      <xdr:colOff>1685924</xdr:colOff>
      <xdr:row>18</xdr:row>
      <xdr:rowOff>292416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C74BA04-0DEA-A86A-704D-E9DFB89E6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9524</xdr:colOff>
      <xdr:row>18</xdr:row>
      <xdr:rowOff>314764</xdr:rowOff>
    </xdr:from>
    <xdr:to>
      <xdr:col>13</xdr:col>
      <xdr:colOff>1669676</xdr:colOff>
      <xdr:row>37</xdr:row>
      <xdr:rowOff>6812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3CDC31D-29F5-CAA9-A89F-50B9FB19B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34017</xdr:colOff>
      <xdr:row>2</xdr:row>
      <xdr:rowOff>16328</xdr:rowOff>
    </xdr:from>
    <xdr:to>
      <xdr:col>20</xdr:col>
      <xdr:colOff>360589</xdr:colOff>
      <xdr:row>18</xdr:row>
      <xdr:rowOff>299357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993F46E-34ED-A1B5-F99C-5B1E22E10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20409</xdr:colOff>
      <xdr:row>18</xdr:row>
      <xdr:rowOff>329291</xdr:rowOff>
    </xdr:from>
    <xdr:to>
      <xdr:col>20</xdr:col>
      <xdr:colOff>324303</xdr:colOff>
      <xdr:row>37</xdr:row>
      <xdr:rowOff>27213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3DD97E8-0800-499A-A7D0-199BABA7A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0A5A-10DF-4AC2-8393-6E0EF86818D6}">
  <dimension ref="A2:I32"/>
  <sheetViews>
    <sheetView tabSelected="1" zoomScale="70" zoomScaleNormal="70" workbookViewId="0">
      <selection activeCell="C34" sqref="C34"/>
    </sheetView>
  </sheetViews>
  <sheetFormatPr defaultRowHeight="15" x14ac:dyDescent="0.25"/>
  <cols>
    <col min="1" max="1" width="9.140625" style="1" customWidth="1"/>
    <col min="2" max="2" width="34.7109375" style="1" customWidth="1"/>
    <col min="3" max="8" width="18.7109375" style="1" customWidth="1"/>
    <col min="9" max="9" width="9.140625" style="1"/>
    <col min="10" max="10" width="18.28515625" style="1" bestFit="1" customWidth="1"/>
    <col min="11" max="11" width="20.85546875" style="1" bestFit="1" customWidth="1"/>
    <col min="12" max="12" width="17.42578125" style="1" bestFit="1" customWidth="1"/>
    <col min="13" max="13" width="23.42578125" style="1" bestFit="1" customWidth="1"/>
    <col min="14" max="14" width="25.28515625" style="1" bestFit="1" customWidth="1"/>
    <col min="15" max="15" width="22" style="1" bestFit="1" customWidth="1"/>
    <col min="16" max="16" width="43" style="1" bestFit="1" customWidth="1"/>
    <col min="17" max="16384" width="9.140625" style="1"/>
  </cols>
  <sheetData>
    <row r="2" spans="1:9" x14ac:dyDescent="0.25">
      <c r="A2" s="11"/>
      <c r="B2" s="11"/>
      <c r="C2" s="11"/>
      <c r="D2" s="11"/>
      <c r="E2" s="11"/>
      <c r="F2" s="11"/>
      <c r="G2" s="11"/>
      <c r="H2" s="11"/>
      <c r="I2" s="11"/>
    </row>
    <row r="3" spans="1:9" ht="75" x14ac:dyDescent="0.25">
      <c r="A3" s="11"/>
      <c r="B3" s="11"/>
      <c r="C3" s="6" t="s">
        <v>0</v>
      </c>
      <c r="D3" s="6" t="s">
        <v>1</v>
      </c>
      <c r="E3" s="6" t="s">
        <v>18</v>
      </c>
      <c r="F3" s="6" t="s">
        <v>2</v>
      </c>
      <c r="G3" s="6" t="s">
        <v>3</v>
      </c>
      <c r="H3" s="7" t="s">
        <v>4</v>
      </c>
      <c r="I3" s="11"/>
    </row>
    <row r="4" spans="1:9" ht="15.75" x14ac:dyDescent="0.25">
      <c r="A4" s="11"/>
      <c r="B4" s="13" t="s">
        <v>5</v>
      </c>
      <c r="C4" s="13"/>
      <c r="D4" s="13"/>
      <c r="E4" s="13"/>
      <c r="F4" s="13"/>
      <c r="G4" s="13"/>
      <c r="H4" s="13"/>
      <c r="I4" s="11"/>
    </row>
    <row r="5" spans="1:9" ht="15.75" x14ac:dyDescent="0.25">
      <c r="A5" s="11"/>
      <c r="B5" s="8" t="s">
        <v>14</v>
      </c>
      <c r="C5" s="5">
        <f>1000*0.00171089917421341</f>
        <v>1.7108991742134101</v>
      </c>
      <c r="D5" s="2">
        <f>1000*0.00252879899926484</f>
        <v>2.5287989992648403</v>
      </c>
      <c r="E5" s="2">
        <f>1000*0.00158879917580634</f>
        <v>1.58879917580634</v>
      </c>
      <c r="F5" s="2">
        <f>1000*0.00203909818083048</f>
        <v>2.03909818083048</v>
      </c>
      <c r="G5" s="2">
        <f>1000*0.00148880027700216</f>
        <v>1.48880027700216</v>
      </c>
      <c r="H5" s="2">
        <f>1000*0.00201009842567146</f>
        <v>2.01009842567146</v>
      </c>
      <c r="I5" s="11"/>
    </row>
    <row r="6" spans="1:9" ht="15.75" x14ac:dyDescent="0.25">
      <c r="A6" s="11"/>
      <c r="B6" s="8" t="s">
        <v>15</v>
      </c>
      <c r="C6" s="5">
        <f>1000*0.00820171926170588</f>
        <v>8.2017192617058807</v>
      </c>
      <c r="D6" s="2">
        <f>1000*0.00714279571548104</f>
        <v>7.1427957154810402</v>
      </c>
      <c r="E6" s="2">
        <f>1000*0.00810421444475651</f>
        <v>8.1042144447565096</v>
      </c>
      <c r="F6" s="2">
        <f>1000*0.00808433815836906</f>
        <v>8.0843381583690608</v>
      </c>
      <c r="G6" s="2">
        <f>1000*0.0080169141292572</f>
        <v>8.0169141292572004</v>
      </c>
      <c r="H6" s="2">
        <f>1000*0.00706025119870901</f>
        <v>7.0602511987090102</v>
      </c>
      <c r="I6" s="11"/>
    </row>
    <row r="7" spans="1:9" ht="15.75" x14ac:dyDescent="0.25">
      <c r="A7" s="11"/>
      <c r="B7" s="8" t="s">
        <v>16</v>
      </c>
      <c r="C7" s="5">
        <f>1000*0.00386970001272857</f>
        <v>3.8697000127285701</v>
      </c>
      <c r="D7" s="2">
        <f>1000*0.00255344109609723</f>
        <v>2.55344109609723</v>
      </c>
      <c r="E7" s="2">
        <f>1000*0.00368808512575924</f>
        <v>3.68808512575924</v>
      </c>
      <c r="F7" s="2">
        <f>1000*0.00380979268811643</f>
        <v>3.8097926881164299</v>
      </c>
      <c r="G7" s="2">
        <f>1000*0.0034701528493315</f>
        <v>3.4701528493314999</v>
      </c>
      <c r="H7" s="2">
        <f>1000*0.00241223396733403</f>
        <v>2.4122339673340298</v>
      </c>
      <c r="I7" s="11"/>
    </row>
    <row r="8" spans="1:9" ht="15.75" x14ac:dyDescent="0.25">
      <c r="A8" s="11"/>
      <c r="B8" s="8" t="s">
        <v>17</v>
      </c>
      <c r="C8" s="5">
        <f>C$5+C$6+C$7</f>
        <v>13.78231844864786</v>
      </c>
      <c r="D8" s="2">
        <f>D$5+D$6+D$7</f>
        <v>12.22503581084311</v>
      </c>
      <c r="E8" s="2">
        <f>E$5+E$6+E$7</f>
        <v>13.38109874632209</v>
      </c>
      <c r="F8" s="2">
        <f>F$5+F$6+F$7</f>
        <v>13.933229027315971</v>
      </c>
      <c r="G8" s="2">
        <f>G$5+G$6+G$7</f>
        <v>12.97586725559086</v>
      </c>
      <c r="H8" s="2">
        <f>H$5+H$6+H$7</f>
        <v>11.4825835917145</v>
      </c>
      <c r="I8" s="11"/>
    </row>
    <row r="9" spans="1:9" ht="15.75" x14ac:dyDescent="0.25">
      <c r="A9" s="11"/>
      <c r="B9" s="13" t="s">
        <v>7</v>
      </c>
      <c r="C9" s="13"/>
      <c r="D9" s="13"/>
      <c r="E9" s="13"/>
      <c r="F9" s="13"/>
      <c r="G9" s="13"/>
      <c r="H9" s="13"/>
      <c r="I9" s="11"/>
    </row>
    <row r="10" spans="1:9" ht="15.75" x14ac:dyDescent="0.25">
      <c r="A10" s="12"/>
      <c r="B10" s="9" t="s">
        <v>8</v>
      </c>
      <c r="C10" s="1">
        <v>10</v>
      </c>
      <c r="D10" s="2">
        <v>10</v>
      </c>
      <c r="E10" s="1">
        <v>10</v>
      </c>
      <c r="F10" s="2">
        <v>10</v>
      </c>
      <c r="G10" s="1">
        <v>10</v>
      </c>
      <c r="H10" s="2">
        <v>10</v>
      </c>
      <c r="I10" s="11"/>
    </row>
    <row r="11" spans="1:9" ht="15.75" x14ac:dyDescent="0.25">
      <c r="A11" s="11"/>
      <c r="B11" s="8" t="s">
        <v>9</v>
      </c>
      <c r="C11" s="1">
        <v>1.0089999999999999</v>
      </c>
      <c r="D11" s="2">
        <v>1.052</v>
      </c>
      <c r="E11" s="1">
        <v>1.383</v>
      </c>
      <c r="F11" s="2">
        <v>1.4990000000000001</v>
      </c>
      <c r="G11" s="1">
        <v>1.107</v>
      </c>
      <c r="H11" s="2">
        <v>1.107</v>
      </c>
      <c r="I11" s="11"/>
    </row>
    <row r="12" spans="1:9" ht="15.75" x14ac:dyDescent="0.25">
      <c r="A12" s="11"/>
      <c r="B12" s="13" t="s">
        <v>6</v>
      </c>
      <c r="C12" s="13"/>
      <c r="D12" s="13"/>
      <c r="E12" s="13"/>
      <c r="F12" s="13"/>
      <c r="G12" s="13"/>
      <c r="H12" s="13"/>
      <c r="I12" s="11"/>
    </row>
    <row r="13" spans="1:9" ht="15.75" x14ac:dyDescent="0.25">
      <c r="A13" s="11"/>
      <c r="B13" s="8" t="s">
        <v>13</v>
      </c>
      <c r="C13" s="2">
        <f>1000*1/(C$10-C$11)</f>
        <v>111.22233344455567</v>
      </c>
      <c r="D13" s="2">
        <f>1000*1/(D$10-D$11)</f>
        <v>111.75681716584711</v>
      </c>
      <c r="E13" s="2">
        <f>1000*1/(E$10-E$11)</f>
        <v>116.04966925844261</v>
      </c>
      <c r="F13" s="2">
        <f>1000*1/(F$10-F$11)</f>
        <v>117.63321962122104</v>
      </c>
      <c r="G13" s="2">
        <f>1000*1/(G$10-G$11)</f>
        <v>112.44799280332845</v>
      </c>
      <c r="H13" s="2">
        <f>1000*1/(H$10-H$11)</f>
        <v>112.44799280332845</v>
      </c>
      <c r="I13" s="11"/>
    </row>
    <row r="14" spans="1:9" ht="15.75" x14ac:dyDescent="0.25">
      <c r="A14" s="11"/>
      <c r="B14" s="13" t="s">
        <v>12</v>
      </c>
      <c r="C14" s="13"/>
      <c r="D14" s="13"/>
      <c r="E14" s="13"/>
      <c r="F14" s="13"/>
      <c r="G14" s="13"/>
      <c r="H14" s="13"/>
      <c r="I14" s="11"/>
    </row>
    <row r="15" spans="1:9" ht="15.75" x14ac:dyDescent="0.25">
      <c r="A15" s="12"/>
      <c r="B15" s="9" t="s">
        <v>10</v>
      </c>
      <c r="C15" s="2">
        <v>132</v>
      </c>
      <c r="D15" s="2">
        <v>132</v>
      </c>
      <c r="E15" s="2">
        <v>122</v>
      </c>
      <c r="F15" s="2">
        <v>125</v>
      </c>
      <c r="G15" s="2">
        <v>125</v>
      </c>
      <c r="H15" s="2">
        <v>132</v>
      </c>
      <c r="I15" s="11"/>
    </row>
    <row r="16" spans="1:9" ht="15.75" x14ac:dyDescent="0.25">
      <c r="A16" s="12"/>
      <c r="B16" s="10" t="s">
        <v>11</v>
      </c>
      <c r="C16" s="3">
        <v>177</v>
      </c>
      <c r="D16" s="3">
        <v>253</v>
      </c>
      <c r="E16" s="3">
        <v>177</v>
      </c>
      <c r="F16" s="3">
        <v>177</v>
      </c>
      <c r="G16" s="3">
        <v>177</v>
      </c>
      <c r="H16" s="3">
        <v>253</v>
      </c>
      <c r="I16" s="11"/>
    </row>
    <row r="17" spans="1:9" x14ac:dyDescent="0.25">
      <c r="A17" s="11"/>
      <c r="B17" s="11"/>
      <c r="C17" s="11"/>
      <c r="D17" s="11"/>
      <c r="E17" s="11"/>
      <c r="F17" s="11"/>
      <c r="G17" s="11"/>
      <c r="H17" s="11"/>
      <c r="I17" s="11"/>
    </row>
    <row r="18" spans="1:9" x14ac:dyDescent="0.25">
      <c r="B18" s="4"/>
      <c r="C18" s="4"/>
      <c r="D18" s="4"/>
      <c r="E18" s="4"/>
      <c r="F18" s="4"/>
    </row>
    <row r="19" spans="1:9" ht="75" x14ac:dyDescent="0.25">
      <c r="B19" s="14" t="s">
        <v>19</v>
      </c>
      <c r="C19" s="6" t="s">
        <v>0</v>
      </c>
      <c r="D19" s="6" t="s">
        <v>1</v>
      </c>
      <c r="E19" s="6" t="s">
        <v>18</v>
      </c>
      <c r="F19" s="6" t="s">
        <v>2</v>
      </c>
      <c r="G19" s="6" t="s">
        <v>3</v>
      </c>
      <c r="H19" s="7" t="s">
        <v>4</v>
      </c>
    </row>
    <row r="20" spans="1:9" ht="15.75" x14ac:dyDescent="0.25">
      <c r="B20" s="13" t="s">
        <v>5</v>
      </c>
      <c r="C20" s="13"/>
      <c r="D20" s="13"/>
      <c r="E20" s="13"/>
      <c r="F20" s="13"/>
      <c r="G20" s="13"/>
      <c r="H20" s="13"/>
    </row>
    <row r="21" spans="1:9" ht="15.75" x14ac:dyDescent="0.25">
      <c r="B21" s="8" t="s">
        <v>14</v>
      </c>
      <c r="C21" s="5">
        <f>1000*0.00171089917421341</f>
        <v>1.7108991742134101</v>
      </c>
      <c r="D21" s="2">
        <f>1000*0.00252879899926484-C21</f>
        <v>0.81789982505143022</v>
      </c>
      <c r="E21" s="2">
        <f>1000*0.00158879917580634-C21</f>
        <v>-0.12209999840707009</v>
      </c>
      <c r="F21" s="2">
        <f>1000*0.00203909818083048-C21</f>
        <v>0.32819900661706991</v>
      </c>
      <c r="G21" s="2">
        <f>1000*0.00148880027700216-C21</f>
        <v>-0.22209889721125009</v>
      </c>
      <c r="H21" s="2">
        <f>1000*0.00201009842567146-C21</f>
        <v>0.29919925145804993</v>
      </c>
    </row>
    <row r="22" spans="1:9" ht="15.75" x14ac:dyDescent="0.25">
      <c r="B22" s="8" t="s">
        <v>15</v>
      </c>
      <c r="C22" s="5">
        <f>1000*0.00820171926170588</f>
        <v>8.2017192617058807</v>
      </c>
      <c r="D22" s="2">
        <f>1000*0.00714279571548104-C22</f>
        <v>-1.0589235462248405</v>
      </c>
      <c r="E22" s="2">
        <f>1000*0.00810421444475651-C22</f>
        <v>-9.7504816949371076E-2</v>
      </c>
      <c r="F22" s="2">
        <f>1000*0.00808433815836906-C22</f>
        <v>-0.11738110333681995</v>
      </c>
      <c r="G22" s="2">
        <f>1000*0.0080169141292572-C22</f>
        <v>-0.18480513244868035</v>
      </c>
      <c r="H22" s="2">
        <f>1000*0.00706025119870901-C22</f>
        <v>-1.1414680629968705</v>
      </c>
    </row>
    <row r="23" spans="1:9" ht="15.75" x14ac:dyDescent="0.25">
      <c r="B23" s="8" t="s">
        <v>16</v>
      </c>
      <c r="C23" s="5">
        <f>1000*0.00386970001272857</f>
        <v>3.8697000127285701</v>
      </c>
      <c r="D23" s="2">
        <f>1000*0.00255344109609723-C23</f>
        <v>-1.3162589166313401</v>
      </c>
      <c r="E23" s="2">
        <f>1000*0.00368808512575924-C23</f>
        <v>-0.18161488696933015</v>
      </c>
      <c r="F23" s="2">
        <f>1000*0.00380979268811643-C23</f>
        <v>-5.9907324612140211E-2</v>
      </c>
      <c r="G23" s="2">
        <f>1000*0.0034701528493315-C23</f>
        <v>-0.39954716339707019</v>
      </c>
      <c r="H23" s="2">
        <f>1000*0.00241223396733403-C23</f>
        <v>-1.4574660453945403</v>
      </c>
    </row>
    <row r="24" spans="1:9" ht="15.75" x14ac:dyDescent="0.25">
      <c r="B24" s="8" t="s">
        <v>17</v>
      </c>
      <c r="C24" s="5">
        <f>C$5+C$6+C$7</f>
        <v>13.78231844864786</v>
      </c>
      <c r="D24" s="2">
        <f>(D$5+D$6+D$7)-C24</f>
        <v>-1.5572826378047502</v>
      </c>
      <c r="E24" s="2">
        <f>(E$5+E$6+E$7)-C24</f>
        <v>-0.4012197023257702</v>
      </c>
      <c r="F24" s="2">
        <f>(F$5+F$6+F$7)-C24</f>
        <v>0.15091057866811042</v>
      </c>
      <c r="G24" s="2">
        <f>(G$5+G$6+G$7)-C24</f>
        <v>-0.80645119305700064</v>
      </c>
      <c r="H24" s="2">
        <f>(H$5+H$6+H$7)-C24</f>
        <v>-2.2997348569333607</v>
      </c>
    </row>
    <row r="25" spans="1:9" ht="15.75" x14ac:dyDescent="0.25">
      <c r="B25" s="13" t="s">
        <v>7</v>
      </c>
      <c r="C25" s="13"/>
      <c r="D25" s="13"/>
      <c r="E25" s="13"/>
      <c r="F25" s="13"/>
      <c r="G25" s="13"/>
      <c r="H25" s="13"/>
    </row>
    <row r="26" spans="1:9" ht="15.75" x14ac:dyDescent="0.25">
      <c r="B26" s="9" t="s">
        <v>8</v>
      </c>
      <c r="C26" s="1">
        <v>10</v>
      </c>
      <c r="D26" s="2">
        <f>C26-10</f>
        <v>0</v>
      </c>
      <c r="E26" s="1">
        <f>C26-10</f>
        <v>0</v>
      </c>
      <c r="F26" s="2">
        <f>C26-10</f>
        <v>0</v>
      </c>
      <c r="G26" s="1">
        <f>C26-10</f>
        <v>0</v>
      </c>
      <c r="H26" s="2">
        <f>C26-10</f>
        <v>0</v>
      </c>
    </row>
    <row r="27" spans="1:9" ht="15.75" x14ac:dyDescent="0.25">
      <c r="B27" s="8" t="s">
        <v>9</v>
      </c>
      <c r="C27" s="1">
        <v>1.0089999999999999</v>
      </c>
      <c r="D27" s="2">
        <f>1.052-C27</f>
        <v>4.3000000000000149E-2</v>
      </c>
      <c r="E27" s="1">
        <f>1.383-C27</f>
        <v>0.37400000000000011</v>
      </c>
      <c r="F27" s="2">
        <f>1.499-C27</f>
        <v>0.49000000000000021</v>
      </c>
      <c r="G27" s="1">
        <f>1.107-C27</f>
        <v>9.8000000000000087E-2</v>
      </c>
      <c r="H27" s="2">
        <f>1.107-C27</f>
        <v>9.8000000000000087E-2</v>
      </c>
    </row>
    <row r="28" spans="1:9" ht="15.75" x14ac:dyDescent="0.25">
      <c r="B28" s="13" t="s">
        <v>6</v>
      </c>
      <c r="C28" s="13"/>
      <c r="D28" s="13"/>
      <c r="E28" s="13"/>
      <c r="F28" s="13"/>
      <c r="G28" s="13"/>
      <c r="H28" s="13"/>
    </row>
    <row r="29" spans="1:9" ht="15.75" x14ac:dyDescent="0.25">
      <c r="B29" s="8" t="s">
        <v>13</v>
      </c>
      <c r="C29" s="2">
        <f>1000*1/(C$10-C$11)</f>
        <v>111.22233344455567</v>
      </c>
      <c r="D29" s="2">
        <f>1000*1/(D$10-D$11)-C29</f>
        <v>0.53448372129143706</v>
      </c>
      <c r="E29" s="2">
        <f>1000*1/(E$10-E$11)-C29</f>
        <v>4.8273358138869327</v>
      </c>
      <c r="F29" s="2">
        <f>1000*1/(F$10-F$11)-C29</f>
        <v>6.4108861766653717</v>
      </c>
      <c r="G29" s="2">
        <f>1000*1/(G$10-G$11)-C29</f>
        <v>1.2256593587727735</v>
      </c>
      <c r="H29" s="2">
        <f>1000*1/(H$10-H$11)-C29</f>
        <v>1.2256593587727735</v>
      </c>
    </row>
    <row r="30" spans="1:9" ht="15.75" x14ac:dyDescent="0.25">
      <c r="B30" s="13" t="s">
        <v>12</v>
      </c>
      <c r="C30" s="13"/>
      <c r="D30" s="13"/>
      <c r="E30" s="13"/>
      <c r="F30" s="13"/>
      <c r="G30" s="13"/>
      <c r="H30" s="13"/>
    </row>
    <row r="31" spans="1:9" ht="15.75" x14ac:dyDescent="0.25">
      <c r="B31" s="9" t="s">
        <v>10</v>
      </c>
      <c r="C31" s="2">
        <v>132</v>
      </c>
      <c r="D31" s="2">
        <f>C31-132</f>
        <v>0</v>
      </c>
      <c r="E31" s="2">
        <f>122-C31</f>
        <v>-10</v>
      </c>
      <c r="F31" s="2">
        <f>125-C31</f>
        <v>-7</v>
      </c>
      <c r="G31" s="2">
        <f>125-C31</f>
        <v>-7</v>
      </c>
      <c r="H31" s="2">
        <f>C31-132</f>
        <v>0</v>
      </c>
    </row>
    <row r="32" spans="1:9" ht="15.75" x14ac:dyDescent="0.25">
      <c r="B32" s="10" t="s">
        <v>11</v>
      </c>
      <c r="C32" s="3">
        <v>177</v>
      </c>
      <c r="D32" s="3">
        <f>253-C32</f>
        <v>76</v>
      </c>
      <c r="E32" s="3">
        <f>C32-177</f>
        <v>0</v>
      </c>
      <c r="F32" s="3">
        <f>C32-177</f>
        <v>0</v>
      </c>
      <c r="G32" s="3">
        <f>C32-177</f>
        <v>0</v>
      </c>
      <c r="H32" s="3">
        <f>253-C32</f>
        <v>76</v>
      </c>
    </row>
  </sheetData>
  <mergeCells count="8">
    <mergeCell ref="B14:H14"/>
    <mergeCell ref="B9:H9"/>
    <mergeCell ref="B12:H12"/>
    <mergeCell ref="B4:H4"/>
    <mergeCell ref="B25:H25"/>
    <mergeCell ref="B28:H28"/>
    <mergeCell ref="B30:H30"/>
    <mergeCell ref="B20:H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dcterms:created xsi:type="dcterms:W3CDTF">2024-01-19T21:35:39Z</dcterms:created>
  <dcterms:modified xsi:type="dcterms:W3CDTF">2024-02-11T23:29:41Z</dcterms:modified>
</cp:coreProperties>
</file>