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横並" sheetId="1" r:id="rId4"/>
    <sheet state="visible" name="全社" sheetId="2" r:id="rId5"/>
    <sheet state="visible" name="PE" sheetId="3" r:id="rId6"/>
    <sheet state="visible" name="講師" sheetId="4" r:id="rId7"/>
    <sheet state="visible" name="放課" sheetId="5" r:id="rId8"/>
    <sheet state="visible" name="採点" sheetId="6" r:id="rId9"/>
    <sheet state="visible" name="GEC" sheetId="7" r:id="rId10"/>
    <sheet state="visible" name="未来" sheetId="8" r:id="rId11"/>
    <sheet state="visible" name="経営" sheetId="9" r:id="rId12"/>
    <sheet state="visible" name="管理" sheetId="10" r:id="rId13"/>
    <sheet state="visible" name="内部" sheetId="11" r:id="rId14"/>
    <sheet state="visible" name="管他" sheetId="12" r:id="rId15"/>
    <sheet state="visible" name="管計" sheetId="13" r:id="rId16"/>
  </sheets>
  <definedNames/>
  <calcPr/>
  <extLst>
    <ext uri="GoogleSheetsCustomDataVersion1">
      <go:sheetsCustomData xmlns:go="http://customooxmlschemas.google.com/" r:id="rId17" roundtripDataSignature="AMtx7mgEAD0R2bR2xhjcmghbtkjV2V8q5Q==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yyyy年m月"/>
    <numFmt numFmtId="165" formatCode="#,##0;[Red]-#,##0;#"/>
    <numFmt numFmtId="166" formatCode="0%;[Red]-0%;#"/>
    <numFmt numFmtId="167" formatCode="#,##0;[Red]-#,##0"/>
    <numFmt numFmtId="168" formatCode="#,##0.0;[Red]-#,##0.0;#.0"/>
    <numFmt numFmtId="169" formatCode="0月"/>
    <numFmt numFmtId="170" formatCode="#,###"/>
    <numFmt numFmtId="171" formatCode="0%;0%;#"/>
  </numFmts>
  <fonts count="13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>
      <color rgb="FFFF0000"/>
      <name val="Arial"/>
    </font>
    <font>
      <sz val="8.0"/>
      <color rgb="FFB7B7B7"/>
      <name val="Arial"/>
    </font>
    <font>
      <color theme="1"/>
      <name val="Arial"/>
      <scheme val="minor"/>
    </font>
    <font>
      <color rgb="FFD9D9D9"/>
      <name val="Arial"/>
    </font>
    <font>
      <color rgb="FFB7B7B7"/>
      <name val="Arial"/>
    </font>
    <font>
      <color rgb="FF000000"/>
      <name val="&quot;ｍｓ ｐゴシック&quot;"/>
    </font>
    <font>
      <color rgb="FF666666"/>
      <name val="Arial"/>
    </font>
    <font>
      <color rgb="FF000000"/>
      <name val="Arial"/>
    </font>
    <font>
      <sz val="11.0"/>
      <color rgb="FF000000"/>
      <name val="Inconsolata"/>
    </font>
    <font>
      <color rgb="FF999999"/>
      <name val="Arial"/>
    </font>
  </fonts>
  <fills count="12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B8FFFF"/>
        <bgColor rgb="FFB8FFFF"/>
      </patternFill>
    </fill>
    <fill>
      <patternFill patternType="solid">
        <fgColor rgb="FFE4FFFF"/>
        <bgColor rgb="FFE4FFFF"/>
      </patternFill>
    </fill>
    <fill>
      <patternFill patternType="solid">
        <fgColor rgb="FFEFEFEF"/>
        <bgColor rgb="FFEFEFEF"/>
      </patternFill>
    </fill>
    <fill>
      <patternFill patternType="solid">
        <fgColor rgb="FFE8F8E3"/>
        <bgColor rgb="FFE8F8E3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4">
    <border/>
    <border>
      <top style="thin">
        <color rgb="FFCC0000"/>
      </top>
      <bottom style="thin">
        <color rgb="FFCC0000"/>
      </bottom>
    </border>
    <border>
      <left style="thin">
        <color rgb="FFCC0000"/>
      </left>
      <top style="thin">
        <color rgb="FFCC0000"/>
      </top>
      <bottom style="thin">
        <color rgb="FFCC0000"/>
      </bottom>
    </border>
    <border>
      <right style="thin">
        <color rgb="FFCC0000"/>
      </right>
      <top style="thin">
        <color rgb="FFCC0000"/>
      </top>
      <bottom style="thin">
        <color rgb="FFCC0000"/>
      </bottom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Font="1"/>
    <xf borderId="0" fillId="2" fontId="2" numFmtId="164" xfId="0" applyAlignment="1" applyFill="1" applyFont="1" applyNumberFormat="1">
      <alignment horizontal="right" vertical="bottom"/>
    </xf>
    <xf borderId="0" fillId="0" fontId="1" numFmtId="1" xfId="0" applyFont="1" applyNumberFormat="1"/>
    <xf borderId="0" fillId="3" fontId="1" numFmtId="0" xfId="0" applyFill="1" applyFont="1"/>
    <xf borderId="0" fillId="3" fontId="1" numFmtId="165" xfId="0" applyAlignment="1" applyFont="1" applyNumberFormat="1">
      <alignment horizontal="right"/>
    </xf>
    <xf borderId="0" fillId="4" fontId="1" numFmtId="165" xfId="0" applyAlignment="1" applyFill="1" applyFont="1" applyNumberFormat="1">
      <alignment horizontal="right"/>
    </xf>
    <xf borderId="0" fillId="2" fontId="1" numFmtId="165" xfId="0" applyAlignment="1" applyFont="1" applyNumberFormat="1">
      <alignment horizontal="right" vertical="bottom"/>
    </xf>
    <xf borderId="0" fillId="2" fontId="1" numFmtId="165" xfId="0" applyAlignment="1" applyFont="1" applyNumberFormat="1">
      <alignment vertical="bottom"/>
    </xf>
    <xf borderId="0" fillId="2" fontId="1" numFmtId="165" xfId="0" applyFont="1" applyNumberFormat="1"/>
    <xf borderId="0" fillId="4" fontId="1" numFmtId="165" xfId="0" applyFont="1" applyNumberFormat="1"/>
    <xf borderId="0" fillId="2" fontId="1" numFmtId="165" xfId="0" applyAlignment="1" applyFont="1" applyNumberFormat="1">
      <alignment horizontal="right"/>
    </xf>
    <xf borderId="0" fillId="5" fontId="1" numFmtId="165" xfId="0" applyFill="1" applyFont="1" applyNumberFormat="1"/>
    <xf borderId="0" fillId="0" fontId="1" numFmtId="166" xfId="0" applyAlignment="1" applyFont="1" applyNumberFormat="1">
      <alignment horizontal="right"/>
    </xf>
    <xf borderId="0" fillId="0" fontId="1" numFmtId="166" xfId="0" applyFont="1" applyNumberFormat="1"/>
    <xf borderId="0" fillId="0" fontId="1" numFmtId="165" xfId="0" applyAlignment="1" applyFont="1" applyNumberFormat="1">
      <alignment horizontal="right"/>
    </xf>
    <xf borderId="0" fillId="6" fontId="1" numFmtId="0" xfId="0" applyAlignment="1" applyFill="1" applyFont="1">
      <alignment horizontal="right"/>
    </xf>
    <xf borderId="0" fillId="0" fontId="1" numFmtId="167" xfId="0" applyFont="1" applyNumberFormat="1"/>
    <xf borderId="0" fillId="0" fontId="1" numFmtId="3" xfId="0" applyFont="1" applyNumberFormat="1"/>
    <xf borderId="0" fillId="3" fontId="1" numFmtId="166" xfId="0" applyAlignment="1" applyFont="1" applyNumberFormat="1">
      <alignment horizontal="right"/>
    </xf>
    <xf borderId="0" fillId="3" fontId="1" numFmtId="166" xfId="0" applyFont="1" applyNumberFormat="1"/>
    <xf borderId="0" fillId="0" fontId="3" numFmtId="165" xfId="0" applyAlignment="1" applyFont="1" applyNumberFormat="1">
      <alignment horizontal="right"/>
    </xf>
    <xf borderId="0" fillId="0" fontId="1" numFmtId="165" xfId="0" applyFont="1" applyNumberFormat="1"/>
    <xf borderId="0" fillId="3" fontId="3" numFmtId="165" xfId="0" applyAlignment="1" applyFont="1" applyNumberFormat="1">
      <alignment horizontal="right"/>
    </xf>
    <xf borderId="0" fillId="0" fontId="1" numFmtId="0" xfId="0" applyAlignment="1" applyFont="1">
      <alignment horizontal="right"/>
    </xf>
    <xf borderId="0" fillId="4" fontId="1" numFmtId="168" xfId="0" applyAlignment="1" applyFont="1" applyNumberFormat="1">
      <alignment horizontal="right"/>
    </xf>
    <xf borderId="0" fillId="2" fontId="1" numFmtId="168" xfId="0" applyAlignment="1" applyFont="1" applyNumberFormat="1">
      <alignment horizontal="right"/>
    </xf>
    <xf borderId="0" fillId="0" fontId="1" numFmtId="168" xfId="0" applyFont="1" applyNumberFormat="1"/>
    <xf borderId="0" fillId="0" fontId="1" numFmtId="168" xfId="0" applyAlignment="1" applyFont="1" applyNumberFormat="1">
      <alignment horizontal="right"/>
    </xf>
    <xf borderId="0" fillId="7" fontId="1" numFmtId="168" xfId="0" applyFill="1" applyFont="1" applyNumberFormat="1"/>
    <xf borderId="0" fillId="7" fontId="1" numFmtId="166" xfId="0" applyFont="1" applyNumberFormat="1"/>
    <xf borderId="0" fillId="7" fontId="1" numFmtId="3" xfId="0" applyAlignment="1" applyFont="1" applyNumberFormat="1">
      <alignment horizontal="right"/>
    </xf>
    <xf borderId="0" fillId="7" fontId="1" numFmtId="165" xfId="0" applyFont="1" applyNumberFormat="1"/>
    <xf borderId="0" fillId="0" fontId="4" numFmtId="1" xfId="0" applyAlignment="1" applyFont="1" applyNumberFormat="1">
      <alignment horizontal="center" vertical="bottom"/>
    </xf>
    <xf borderId="0" fillId="0" fontId="5" numFmtId="0" xfId="0" applyFont="1"/>
    <xf borderId="0" fillId="0" fontId="1" numFmtId="0" xfId="0" applyAlignment="1" applyFont="1">
      <alignment horizontal="center" vertical="center"/>
    </xf>
    <xf borderId="0" fillId="0" fontId="6" numFmtId="1" xfId="0" applyAlignment="1" applyFont="1" applyNumberFormat="1">
      <alignment horizontal="right"/>
    </xf>
    <xf borderId="0" fillId="0" fontId="6" numFmtId="1" xfId="0" applyAlignment="1" applyFont="1" applyNumberFormat="1">
      <alignment vertical="center"/>
    </xf>
    <xf borderId="0" fillId="0" fontId="6" numFmtId="1" xfId="0" applyFont="1" applyNumberFormat="1"/>
    <xf borderId="0" fillId="0" fontId="1" numFmtId="169" xfId="0" applyAlignment="1" applyFont="1" applyNumberFormat="1">
      <alignment horizontal="center"/>
    </xf>
    <xf borderId="0" fillId="0" fontId="1" numFmtId="169" xfId="0" applyFont="1" applyNumberFormat="1"/>
    <xf borderId="0" fillId="3" fontId="1" numFmtId="0" xfId="0" applyAlignment="1" applyFont="1">
      <alignment vertical="center"/>
    </xf>
    <xf borderId="0" fillId="3" fontId="1" numFmtId="165" xfId="0" applyAlignment="1" applyFont="1" applyNumberFormat="1">
      <alignment vertical="center"/>
    </xf>
    <xf borderId="0" fillId="3" fontId="7" numFmtId="166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0" fillId="0" fontId="7" numFmtId="166" xfId="0" applyAlignment="1" applyFont="1" applyNumberFormat="1">
      <alignment vertical="center"/>
    </xf>
    <xf borderId="0" fillId="0" fontId="1" numFmtId="0" xfId="0" applyAlignment="1" applyFont="1">
      <alignment vertical="center"/>
    </xf>
    <xf borderId="0" fillId="0" fontId="1" numFmtId="166" xfId="0" applyAlignment="1" applyFont="1" applyNumberFormat="1">
      <alignment vertical="center"/>
    </xf>
    <xf borderId="0" fillId="0" fontId="1" numFmtId="170" xfId="0" applyAlignment="1" applyFont="1" applyNumberFormat="1">
      <alignment vertical="center"/>
    </xf>
    <xf borderId="0" fillId="6" fontId="1" numFmtId="0" xfId="0" applyAlignment="1" applyFont="1">
      <alignment horizontal="right" vertical="center"/>
    </xf>
    <xf borderId="0" fillId="6" fontId="1" numFmtId="165" xfId="0" applyAlignment="1" applyFont="1" applyNumberFormat="1">
      <alignment vertical="center"/>
    </xf>
    <xf borderId="0" fillId="6" fontId="7" numFmtId="166" xfId="0" applyAlignment="1" applyFont="1" applyNumberFormat="1">
      <alignment vertical="center"/>
    </xf>
    <xf borderId="0" fillId="0" fontId="1" numFmtId="0" xfId="0" applyAlignment="1" applyFont="1">
      <alignment horizontal="left" vertical="center"/>
    </xf>
    <xf borderId="0" fillId="0" fontId="1" numFmtId="3" xfId="0" applyAlignment="1" applyFont="1" applyNumberFormat="1">
      <alignment vertical="center"/>
    </xf>
    <xf borderId="0" fillId="3" fontId="1" numFmtId="166" xfId="0" applyAlignment="1" applyFont="1" applyNumberFormat="1">
      <alignment vertical="center"/>
    </xf>
    <xf borderId="0" fillId="0" fontId="1" numFmtId="0" xfId="0" applyAlignment="1" applyFont="1">
      <alignment horizontal="right" vertical="center"/>
    </xf>
    <xf borderId="0" fillId="0" fontId="1" numFmtId="168" xfId="0" applyAlignment="1" applyFont="1" applyNumberFormat="1">
      <alignment vertical="center"/>
    </xf>
    <xf borderId="0" fillId="0" fontId="7" numFmtId="171" xfId="0" applyAlignment="1" applyFont="1" applyNumberFormat="1">
      <alignment vertical="center"/>
    </xf>
    <xf borderId="0" fillId="0" fontId="1" numFmtId="171" xfId="0" applyFont="1" applyNumberFormat="1"/>
    <xf borderId="0" fillId="0" fontId="1" numFmtId="1" xfId="0" applyAlignment="1" applyFont="1" applyNumberFormat="1">
      <alignment horizontal="right" vertical="center"/>
    </xf>
    <xf borderId="0" fillId="2" fontId="1" numFmtId="165" xfId="0" applyAlignment="1" applyFont="1" applyNumberFormat="1">
      <alignment vertical="center"/>
    </xf>
    <xf borderId="0" fillId="8" fontId="1" numFmtId="165" xfId="0" applyAlignment="1" applyFill="1" applyFont="1" applyNumberFormat="1">
      <alignment vertical="center"/>
    </xf>
    <xf borderId="0" fillId="9" fontId="1" numFmtId="165" xfId="0" applyFill="1" applyFont="1" applyNumberFormat="1"/>
    <xf borderId="0" fillId="8" fontId="1" numFmtId="165" xfId="0" applyFont="1" applyNumberFormat="1"/>
    <xf borderId="0" fillId="0" fontId="1" numFmtId="165" xfId="0" applyAlignment="1" applyFont="1" applyNumberFormat="1">
      <alignment vertical="bottom"/>
    </xf>
    <xf borderId="0" fillId="2" fontId="8" numFmtId="165" xfId="0" applyAlignment="1" applyFont="1" applyNumberFormat="1">
      <alignment horizontal="right" shrinkToFit="0" vertical="bottom" wrapText="0"/>
    </xf>
    <xf borderId="0" fillId="2" fontId="9" numFmtId="165" xfId="0" applyAlignment="1" applyFont="1" applyNumberFormat="1">
      <alignment vertical="center"/>
    </xf>
    <xf borderId="0" fillId="0" fontId="9" numFmtId="165" xfId="0" applyFont="1" applyNumberFormat="1"/>
    <xf borderId="0" fillId="2" fontId="8" numFmtId="165" xfId="0" applyAlignment="1" applyFont="1" applyNumberFormat="1">
      <alignment shrinkToFit="0" vertical="bottom" wrapText="0"/>
    </xf>
    <xf borderId="0" fillId="2" fontId="1" numFmtId="168" xfId="0" applyAlignment="1" applyFont="1" applyNumberFormat="1">
      <alignment vertical="center"/>
    </xf>
    <xf borderId="0" fillId="2" fontId="10" numFmtId="165" xfId="0" applyAlignment="1" applyFont="1" applyNumberFormat="1">
      <alignment horizontal="right" vertical="center"/>
    </xf>
    <xf borderId="0" fillId="9" fontId="1" numFmtId="165" xfId="0" applyAlignment="1" applyFont="1" applyNumberFormat="1">
      <alignment vertical="center"/>
    </xf>
    <xf borderId="0" fillId="10" fontId="11" numFmtId="0" xfId="0" applyFill="1" applyFont="1"/>
    <xf borderId="0" fillId="2" fontId="10" numFmtId="165" xfId="0" applyAlignment="1" applyFont="1" applyNumberFormat="1">
      <alignment horizontal="right"/>
    </xf>
    <xf borderId="0" fillId="9" fontId="1" numFmtId="165" xfId="0" applyAlignment="1" applyFont="1" applyNumberFormat="1">
      <alignment vertical="bottom"/>
    </xf>
    <xf borderId="0" fillId="6" fontId="1" numFmtId="165" xfId="0" applyFont="1" applyNumberFormat="1"/>
    <xf borderId="0" fillId="6" fontId="1" numFmtId="166" xfId="0" applyFont="1" applyNumberFormat="1"/>
    <xf borderId="0" fillId="0" fontId="1" numFmtId="170" xfId="0" applyFont="1" applyNumberFormat="1"/>
    <xf borderId="0" fillId="3" fontId="1" numFmtId="165" xfId="0" applyFont="1" applyNumberFormat="1"/>
    <xf borderId="0" fillId="2" fontId="1" numFmtId="168" xfId="0" applyFont="1" applyNumberFormat="1"/>
    <xf borderId="0" fillId="0" fontId="1" numFmtId="168" xfId="0" applyAlignment="1" applyFont="1" applyNumberFormat="1">
      <alignment vertical="bottom"/>
    </xf>
    <xf borderId="0" fillId="11" fontId="1" numFmtId="168" xfId="0" applyAlignment="1" applyFill="1" applyFont="1" applyNumberFormat="1">
      <alignment shrinkToFit="0" wrapText="0"/>
    </xf>
    <xf borderId="0" fillId="11" fontId="1" numFmtId="168" xfId="0" applyAlignment="1" applyFont="1" applyNumberFormat="1">
      <alignment vertical="bottom"/>
    </xf>
    <xf borderId="0" fillId="11" fontId="1" numFmtId="165" xfId="0" applyAlignment="1" applyFont="1" applyNumberFormat="1">
      <alignment vertical="bottom"/>
    </xf>
    <xf borderId="0" fillId="11" fontId="1" numFmtId="166" xfId="0" applyFont="1" applyNumberFormat="1"/>
    <xf borderId="0" fillId="11" fontId="1" numFmtId="165" xfId="0" applyFont="1" applyNumberFormat="1"/>
    <xf borderId="1" fillId="3" fontId="1" numFmtId="165" xfId="0" applyAlignment="1" applyBorder="1" applyFont="1" applyNumberFormat="1">
      <alignment vertical="center"/>
    </xf>
    <xf borderId="2" fillId="3" fontId="1" numFmtId="165" xfId="0" applyAlignment="1" applyBorder="1" applyFont="1" applyNumberFormat="1">
      <alignment vertical="center"/>
    </xf>
    <xf borderId="3" fillId="3" fontId="1" numFmtId="165" xfId="0" applyAlignment="1" applyBorder="1" applyFont="1" applyNumberFormat="1">
      <alignment vertical="center"/>
    </xf>
    <xf borderId="0" fillId="10" fontId="1" numFmtId="165" xfId="0" applyAlignment="1" applyFont="1" applyNumberFormat="1">
      <alignment vertical="center"/>
    </xf>
    <xf borderId="0" fillId="6" fontId="12" numFmtId="165" xfId="0" applyAlignment="1" applyFont="1" applyNumberFormat="1">
      <alignment vertical="center"/>
    </xf>
    <xf borderId="0" fillId="10" fontId="1" numFmtId="168" xfId="0" applyAlignment="1" applyFont="1" applyNumberFormat="1">
      <alignment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0"/>
  <cols>
    <col customWidth="1" min="1" max="1" width="15.5"/>
    <col customWidth="1" min="2" max="2" width="12.0"/>
    <col customWidth="1" min="3" max="12" width="9.75"/>
  </cols>
  <sheetData>
    <row r="1" ht="15.75" customHeight="1">
      <c r="A1" s="1" t="str">
        <f>IFERROR(__xludf.DUMMYFUNCTION("IMPORTRANGE(""https://docs.google.com/spreadsheets/d/1SlHuJEDBJ4Gy3WXeRPN-U9OYonTEM2Yhh4rIuiFr5bQ/edit#gid=256474166"",""当月!A:S"")"),"")</f>
        <v/>
      </c>
      <c r="B1" s="1"/>
      <c r="C1" s="2">
        <f>IFERROR(__xludf.DUMMYFUNCTION("""COMPUTED_VALUE"""),2.0)</f>
        <v>2</v>
      </c>
      <c r="D1" s="2">
        <f>IFERROR(__xludf.DUMMYFUNCTION("""COMPUTED_VALUE"""),5.0)</f>
        <v>5</v>
      </c>
      <c r="E1" s="2">
        <f>IFERROR(__xludf.DUMMYFUNCTION("""COMPUTED_VALUE"""),9.0)</f>
        <v>9</v>
      </c>
      <c r="F1" s="2">
        <f>IFERROR(__xludf.DUMMYFUNCTION("""COMPUTED_VALUE"""),6.0)</f>
        <v>6</v>
      </c>
      <c r="G1" s="2">
        <f>IFERROR(__xludf.DUMMYFUNCTION("""COMPUTED_VALUE"""),13.0)</f>
        <v>13</v>
      </c>
      <c r="H1" s="2">
        <f>IFERROR(__xludf.DUMMYFUNCTION("""COMPUTED_VALUE"""),14.0)</f>
        <v>14</v>
      </c>
      <c r="I1" s="2">
        <f>IFERROR(__xludf.DUMMYFUNCTION("""COMPUTED_VALUE"""),12.0)</f>
        <v>12</v>
      </c>
      <c r="J1" s="2">
        <f>IFERROR(__xludf.DUMMYFUNCTION("""COMPUTED_VALUE"""),16.0)</f>
        <v>16</v>
      </c>
      <c r="K1" s="2">
        <f>IFERROR(__xludf.DUMMYFUNCTION("""COMPUTED_VALUE"""),1.0)</f>
        <v>1</v>
      </c>
      <c r="L1" s="2">
        <f>IFERROR(__xludf.DUMMYFUNCTION("""COMPUTED_VALUE"""),17.0)</f>
        <v>17</v>
      </c>
      <c r="M1" s="3"/>
      <c r="N1" s="3"/>
      <c r="O1" s="3"/>
      <c r="P1" s="3"/>
      <c r="Q1" s="3"/>
      <c r="R1" s="3"/>
    </row>
    <row r="2" ht="15.75" customHeight="1">
      <c r="A2" s="4" t="str">
        <f>IFERROR(__xludf.DUMMYFUNCTION("""COMPUTED_VALUE"""),"11月")</f>
        <v>11月</v>
      </c>
      <c r="B2" s="2" t="str">
        <f>IFERROR(__xludf.DUMMYFUNCTION("""COMPUTED_VALUE"""),"全社")</f>
        <v>全社</v>
      </c>
      <c r="C2" s="2" t="str">
        <f>IFERROR(__xludf.DUMMYFUNCTION("""COMPUTED_VALUE"""),"PE")</f>
        <v>PE</v>
      </c>
      <c r="D2" s="2" t="str">
        <f>IFERROR(__xludf.DUMMYFUNCTION("""COMPUTED_VALUE"""),"講師")</f>
        <v>講師</v>
      </c>
      <c r="E2" s="2" t="str">
        <f>IFERROR(__xludf.DUMMYFUNCTION("""COMPUTED_VALUE"""),"放課")</f>
        <v>放課</v>
      </c>
      <c r="F2" s="2" t="str">
        <f>IFERROR(__xludf.DUMMYFUNCTION("""COMPUTED_VALUE"""),"採点")</f>
        <v>採点</v>
      </c>
      <c r="G2" s="2" t="str">
        <f>IFERROR(__xludf.DUMMYFUNCTION("""COMPUTED_VALUE"""),"GEC")</f>
        <v>GEC</v>
      </c>
      <c r="H2" s="2" t="str">
        <f>IFERROR(__xludf.DUMMYFUNCTION("""COMPUTED_VALUE"""),"未来")</f>
        <v>未来</v>
      </c>
      <c r="I2" s="2" t="str">
        <f>IFERROR(__xludf.DUMMYFUNCTION("""COMPUTED_VALUE"""),"経営")</f>
        <v>経営</v>
      </c>
      <c r="J2" s="2" t="str">
        <f>IFERROR(__xludf.DUMMYFUNCTION("""COMPUTED_VALUE"""),"内部")</f>
        <v>内部</v>
      </c>
      <c r="K2" s="2" t="str">
        <f>IFERROR(__xludf.DUMMYFUNCTION("""COMPUTED_VALUE"""),"管理")</f>
        <v>管理</v>
      </c>
      <c r="L2" s="2" t="str">
        <f>IFERROR(__xludf.DUMMYFUNCTION("""COMPUTED_VALUE"""),"管他")</f>
        <v>管他</v>
      </c>
      <c r="M2" s="3"/>
      <c r="N2" s="5" t="str">
        <f>IFERROR(__xludf.DUMMYFUNCTION("""COMPUTED_VALUE"""),"訂正記録")</f>
        <v>訂正記録</v>
      </c>
      <c r="O2" s="3"/>
      <c r="P2" s="3"/>
      <c r="Q2" s="3"/>
      <c r="R2" s="3"/>
    </row>
    <row r="3" ht="15.75" customHeight="1">
      <c r="A3" s="6" t="str">
        <f>IFERROR(__xludf.DUMMYFUNCTION("""COMPUTED_VALUE"""),"売上")</f>
        <v>売上</v>
      </c>
      <c r="B3" s="7">
        <f>IFERROR(__xludf.DUMMYFUNCTION("""COMPUTED_VALUE"""),1.7281869E8)</f>
        <v>172818690</v>
      </c>
      <c r="C3" s="7">
        <f>IFERROR(__xludf.DUMMYFUNCTION("""COMPUTED_VALUE"""),5.8284353E7)</f>
        <v>58284353</v>
      </c>
      <c r="D3" s="7">
        <f>IFERROR(__xludf.DUMMYFUNCTION("""COMPUTED_VALUE"""),3.9849205E7)</f>
        <v>39849205</v>
      </c>
      <c r="E3" s="7">
        <f>IFERROR(__xludf.DUMMYFUNCTION("""COMPUTED_VALUE"""),3.4498966E7)</f>
        <v>34498966</v>
      </c>
      <c r="F3" s="7">
        <f>IFERROR(__xludf.DUMMYFUNCTION("""COMPUTED_VALUE"""),1.0717246E7)</f>
        <v>10717246</v>
      </c>
      <c r="G3" s="7">
        <f>IFERROR(__xludf.DUMMYFUNCTION("""COMPUTED_VALUE"""),2.0864938E7)</f>
        <v>20864938</v>
      </c>
      <c r="H3" s="7">
        <f>IFERROR(__xludf.DUMMYFUNCTION("""COMPUTED_VALUE"""),2085820.0)</f>
        <v>2085820</v>
      </c>
      <c r="I3" s="7">
        <f>IFERROR(__xludf.DUMMYFUNCTION("""COMPUTED_VALUE"""),6518162.0)</f>
        <v>6518162</v>
      </c>
      <c r="J3" s="7">
        <f>IFERROR(__xludf.DUMMYFUNCTION("""COMPUTED_VALUE"""),0.0)</f>
        <v>0</v>
      </c>
      <c r="K3" s="7">
        <f>IFERROR(__xludf.DUMMYFUNCTION("""COMPUTED_VALUE"""),0.0)</f>
        <v>0</v>
      </c>
      <c r="L3" s="7">
        <f>IFERROR(__xludf.DUMMYFUNCTION("""COMPUTED_VALUE"""),0.0)</f>
        <v>0</v>
      </c>
      <c r="M3" s="3"/>
      <c r="N3" s="5" t="str">
        <f>IFERROR(__xludf.DUMMYFUNCTION("""COMPUTED_VALUE"""),"部門")</f>
        <v>部門</v>
      </c>
      <c r="O3" s="5" t="str">
        <f>IFERROR(__xludf.DUMMYFUNCTION("""COMPUTED_VALUE"""),"科目")</f>
        <v>科目</v>
      </c>
      <c r="P3" s="5" t="str">
        <f>IFERROR(__xludf.DUMMYFUNCTION("""COMPUTED_VALUE"""),"金額")</f>
        <v>金額</v>
      </c>
      <c r="Q3" s="5" t="str">
        <f>IFERROR(__xludf.DUMMYFUNCTION("""COMPUTED_VALUE"""),"内容")</f>
        <v>内容</v>
      </c>
      <c r="R3" s="3"/>
    </row>
    <row r="4" ht="15.75" customHeight="1">
      <c r="A4" s="3" t="str">
        <f>IFERROR(__xludf.DUMMYFUNCTION("""COMPUTED_VALUE"""),"Tutor-PE")</f>
        <v>Tutor-PE</v>
      </c>
      <c r="B4" s="8">
        <f>IFERROR(__xludf.DUMMYFUNCTION("""COMPUTED_VALUE"""),3.7177428E7)</f>
        <v>37177428</v>
      </c>
      <c r="C4" s="9">
        <f>IFERROR(__xludf.DUMMYFUNCTION("""COMPUTED_VALUE"""),3.7177428E7)</f>
        <v>37177428</v>
      </c>
      <c r="D4" s="10"/>
      <c r="E4" s="10"/>
      <c r="F4" s="10"/>
      <c r="G4" s="10"/>
      <c r="H4" s="10"/>
      <c r="I4" s="10"/>
      <c r="J4" s="11"/>
      <c r="K4" s="11"/>
      <c r="L4" s="11"/>
      <c r="M4" s="3"/>
      <c r="N4" s="3"/>
      <c r="O4" s="3"/>
      <c r="P4" s="3"/>
      <c r="Q4" s="3"/>
      <c r="R4" s="3"/>
    </row>
    <row r="5" ht="15.75" customHeight="1">
      <c r="A5" s="3" t="str">
        <f>IFERROR(__xludf.DUMMYFUNCTION("""COMPUTED_VALUE"""),"Global-PE")</f>
        <v>Global-PE</v>
      </c>
      <c r="B5" s="8">
        <f>IFERROR(__xludf.DUMMYFUNCTION("""COMPUTED_VALUE"""),2.1106925E7)</f>
        <v>21106925</v>
      </c>
      <c r="C5" s="9">
        <f>IFERROR(__xludf.DUMMYFUNCTION("""COMPUTED_VALUE"""),2.1106925E7)</f>
        <v>21106925</v>
      </c>
      <c r="D5" s="10"/>
      <c r="E5" s="10"/>
      <c r="F5" s="10"/>
      <c r="G5" s="10"/>
      <c r="H5" s="10"/>
      <c r="I5" s="10"/>
      <c r="J5" s="11"/>
      <c r="K5" s="11"/>
      <c r="L5" s="11"/>
      <c r="M5" s="3"/>
      <c r="N5" s="3"/>
      <c r="O5" s="3"/>
      <c r="P5" s="3"/>
      <c r="Q5" s="3"/>
      <c r="R5" s="3"/>
    </row>
    <row r="6" ht="15.75" customHeight="1">
      <c r="A6" s="3" t="str">
        <f>IFERROR(__xludf.DUMMYFUNCTION("""COMPUTED_VALUE"""),"その他-PE")</f>
        <v>その他-PE</v>
      </c>
      <c r="B6" s="8">
        <f>IFERROR(__xludf.DUMMYFUNCTION("""COMPUTED_VALUE"""),0.0)</f>
        <v>0</v>
      </c>
      <c r="C6" s="9">
        <f>IFERROR(__xludf.DUMMYFUNCTION("""COMPUTED_VALUE"""),0.0)</f>
        <v>0</v>
      </c>
      <c r="D6" s="10"/>
      <c r="E6" s="10"/>
      <c r="F6" s="10"/>
      <c r="G6" s="10"/>
      <c r="H6" s="10"/>
      <c r="I6" s="10"/>
      <c r="J6" s="11"/>
      <c r="K6" s="11"/>
      <c r="L6" s="11"/>
      <c r="M6" s="3"/>
      <c r="N6" s="3"/>
      <c r="O6" s="3"/>
      <c r="P6" s="3"/>
      <c r="Q6" s="3"/>
      <c r="R6" s="3"/>
    </row>
    <row r="7" ht="15.75" customHeight="1">
      <c r="A7" s="3" t="str">
        <f>IFERROR(__xludf.DUMMYFUNCTION("""COMPUTED_VALUE"""),"講師求人")</f>
        <v>講師求人</v>
      </c>
      <c r="B7" s="8">
        <f>IFERROR(__xludf.DUMMYFUNCTION("""COMPUTED_VALUE"""),3.9849205E7)</f>
        <v>39849205</v>
      </c>
      <c r="C7" s="10"/>
      <c r="D7" s="9">
        <f>IFERROR(__xludf.DUMMYFUNCTION("""COMPUTED_VALUE"""),3.9849205E7)</f>
        <v>39849205</v>
      </c>
      <c r="E7" s="10"/>
      <c r="F7" s="10"/>
      <c r="G7" s="10"/>
      <c r="H7" s="10"/>
      <c r="I7" s="10"/>
      <c r="J7" s="11"/>
      <c r="K7" s="11"/>
      <c r="L7" s="11"/>
      <c r="M7" s="3"/>
      <c r="N7" s="3"/>
      <c r="O7" s="3"/>
      <c r="P7" s="3"/>
      <c r="Q7" s="3"/>
      <c r="R7" s="3"/>
    </row>
    <row r="8" ht="15.75" customHeight="1">
      <c r="A8" s="3" t="str">
        <f>IFERROR(__xludf.DUMMYFUNCTION("""COMPUTED_VALUE"""),"放課後支援")</f>
        <v>放課後支援</v>
      </c>
      <c r="B8" s="8">
        <f>IFERROR(__xludf.DUMMYFUNCTION("""COMPUTED_VALUE"""),3.4498966E7)</f>
        <v>34498966</v>
      </c>
      <c r="C8" s="10"/>
      <c r="D8" s="10"/>
      <c r="E8" s="9">
        <f>IFERROR(__xludf.DUMMYFUNCTION("""COMPUTED_VALUE"""),3.4498966E7)</f>
        <v>34498966</v>
      </c>
      <c r="F8" s="10"/>
      <c r="G8" s="10"/>
      <c r="H8" s="10"/>
      <c r="I8" s="10"/>
      <c r="J8" s="11"/>
      <c r="K8" s="11"/>
      <c r="L8" s="11"/>
      <c r="M8" s="3"/>
      <c r="N8" s="3"/>
      <c r="O8" s="3"/>
      <c r="P8" s="3"/>
      <c r="Q8" s="3"/>
      <c r="R8" s="3"/>
    </row>
    <row r="9" ht="15.75" customHeight="1">
      <c r="A9" s="3" t="str">
        <f>IFERROR(__xludf.DUMMYFUNCTION("""COMPUTED_VALUE"""),"採点OS")</f>
        <v>採点OS</v>
      </c>
      <c r="B9" s="8">
        <f>IFERROR(__xludf.DUMMYFUNCTION("""COMPUTED_VALUE"""),1.0717246E7)</f>
        <v>10717246</v>
      </c>
      <c r="C9" s="10"/>
      <c r="D9" s="10"/>
      <c r="E9" s="10"/>
      <c r="F9" s="9">
        <f>IFERROR(__xludf.DUMMYFUNCTION("""COMPUTED_VALUE"""),1.0717246E7)</f>
        <v>10717246</v>
      </c>
      <c r="G9" s="10"/>
      <c r="H9" s="10"/>
      <c r="I9" s="10"/>
      <c r="J9" s="11"/>
      <c r="K9" s="11"/>
      <c r="L9" s="11"/>
      <c r="M9" s="3"/>
      <c r="N9" s="3"/>
      <c r="O9" s="3"/>
      <c r="P9" s="3"/>
      <c r="Q9" s="3"/>
      <c r="R9" s="3"/>
    </row>
    <row r="10" ht="15.75" customHeight="1">
      <c r="A10" s="3" t="str">
        <f>IFERROR(__xludf.DUMMYFUNCTION("""COMPUTED_VALUE"""),"GEC")</f>
        <v>GEC</v>
      </c>
      <c r="B10" s="8">
        <f>IFERROR(__xludf.DUMMYFUNCTION("""COMPUTED_VALUE"""),2.0864938E7)</f>
        <v>20864938</v>
      </c>
      <c r="C10" s="10"/>
      <c r="D10" s="10"/>
      <c r="E10" s="10"/>
      <c r="F10" s="10"/>
      <c r="G10" s="9">
        <f>IFERROR(__xludf.DUMMYFUNCTION("""COMPUTED_VALUE"""),2.0864938E7)</f>
        <v>20864938</v>
      </c>
      <c r="H10" s="10"/>
      <c r="I10" s="10"/>
      <c r="J10" s="11"/>
      <c r="K10" s="11"/>
      <c r="L10" s="11"/>
      <c r="M10" s="3"/>
      <c r="N10" s="3"/>
      <c r="O10" s="3"/>
      <c r="P10" s="3"/>
      <c r="Q10" s="3"/>
      <c r="R10" s="3"/>
    </row>
    <row r="11" ht="15.75" customHeight="1">
      <c r="A11" s="3" t="str">
        <f>IFERROR(__xludf.DUMMYFUNCTION("""COMPUTED_VALUE"""),"未来教育創造")</f>
        <v>未来教育創造</v>
      </c>
      <c r="B11" s="8">
        <f>IFERROR(__xludf.DUMMYFUNCTION("""COMPUTED_VALUE"""),2085820.0)</f>
        <v>2085820</v>
      </c>
      <c r="C11" s="10"/>
      <c r="D11" s="10"/>
      <c r="E11" s="10"/>
      <c r="F11" s="10"/>
      <c r="G11" s="10"/>
      <c r="H11" s="9">
        <f>IFERROR(__xludf.DUMMYFUNCTION("""COMPUTED_VALUE"""),2085820.0)</f>
        <v>2085820</v>
      </c>
      <c r="I11" s="10"/>
      <c r="J11" s="11"/>
      <c r="K11" s="11"/>
      <c r="L11" s="11"/>
      <c r="M11" s="3"/>
      <c r="N11" s="3"/>
      <c r="O11" s="3"/>
      <c r="P11" s="3"/>
      <c r="Q11" s="3"/>
      <c r="R11" s="3"/>
    </row>
    <row r="12" ht="15.75" customHeight="1">
      <c r="A12" s="3" t="str">
        <f>IFERROR(__xludf.DUMMYFUNCTION("""COMPUTED_VALUE"""),"経営投資")</f>
        <v>経営投資</v>
      </c>
      <c r="B12" s="8">
        <f>IFERROR(__xludf.DUMMYFUNCTION("""COMPUTED_VALUE"""),6518162.0)</f>
        <v>6518162</v>
      </c>
      <c r="C12" s="10"/>
      <c r="D12" s="10"/>
      <c r="E12" s="10"/>
      <c r="F12" s="10"/>
      <c r="G12" s="10"/>
      <c r="H12" s="10"/>
      <c r="I12" s="9">
        <f>IFERROR(__xludf.DUMMYFUNCTION("""COMPUTED_VALUE"""),6518162.0)</f>
        <v>6518162</v>
      </c>
      <c r="J12" s="11"/>
      <c r="K12" s="11"/>
      <c r="L12" s="11"/>
      <c r="M12" s="3"/>
      <c r="N12" s="3"/>
      <c r="O12" s="3"/>
      <c r="P12" s="3"/>
      <c r="Q12" s="3"/>
      <c r="R12" s="3"/>
    </row>
    <row r="13" ht="15.75" customHeight="1">
      <c r="A13" s="3"/>
      <c r="B13" s="12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3"/>
      <c r="N13" s="3"/>
      <c r="O13" s="3"/>
      <c r="P13" s="3"/>
      <c r="Q13" s="3"/>
      <c r="R13" s="3"/>
    </row>
    <row r="14" ht="15.75" customHeight="1">
      <c r="A14" s="3"/>
      <c r="B14" s="12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3"/>
      <c r="N14" s="3"/>
      <c r="O14" s="3"/>
      <c r="P14" s="3"/>
      <c r="Q14" s="3"/>
      <c r="R14" s="3"/>
    </row>
    <row r="15" ht="15.75" customHeight="1">
      <c r="A15" s="3"/>
      <c r="B15" s="12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3"/>
      <c r="N15" s="3"/>
      <c r="O15" s="3"/>
      <c r="P15" s="3"/>
      <c r="Q15" s="3"/>
      <c r="R15" s="3"/>
    </row>
    <row r="16" ht="15.75" customHeight="1">
      <c r="A16" s="6" t="str">
        <f>IFERROR(__xludf.DUMMYFUNCTION("""COMPUTED_VALUE"""),"仕入")</f>
        <v>仕入</v>
      </c>
      <c r="B16" s="7">
        <f>IFERROR(__xludf.DUMMYFUNCTION("""COMPUTED_VALUE"""),6.3245731E7)</f>
        <v>63245731</v>
      </c>
      <c r="C16" s="7">
        <f>IFERROR(__xludf.DUMMYFUNCTION("""COMPUTED_VALUE"""),2.6368681E7)</f>
        <v>26368681</v>
      </c>
      <c r="D16" s="7">
        <f>IFERROR(__xludf.DUMMYFUNCTION("""COMPUTED_VALUE"""),0.0)</f>
        <v>0</v>
      </c>
      <c r="E16" s="7">
        <f>IFERROR(__xludf.DUMMYFUNCTION("""COMPUTED_VALUE"""),1.8877992E7)</f>
        <v>18877992</v>
      </c>
      <c r="F16" s="7">
        <f>IFERROR(__xludf.DUMMYFUNCTION("""COMPUTED_VALUE"""),5556099.0)</f>
        <v>5556099</v>
      </c>
      <c r="G16" s="7">
        <f>IFERROR(__xludf.DUMMYFUNCTION("""COMPUTED_VALUE"""),8526388.0)</f>
        <v>8526388</v>
      </c>
      <c r="H16" s="7">
        <f>IFERROR(__xludf.DUMMYFUNCTION("""COMPUTED_VALUE"""),0.0)</f>
        <v>0</v>
      </c>
      <c r="I16" s="7">
        <f>IFERROR(__xludf.DUMMYFUNCTION("""COMPUTED_VALUE"""),3916571.0)</f>
        <v>3916571</v>
      </c>
      <c r="J16" s="7">
        <f>IFERROR(__xludf.DUMMYFUNCTION("""COMPUTED_VALUE"""),0.0)</f>
        <v>0</v>
      </c>
      <c r="K16" s="7">
        <f>IFERROR(__xludf.DUMMYFUNCTION("""COMPUTED_VALUE"""),0.0)</f>
        <v>0</v>
      </c>
      <c r="L16" s="7">
        <f>IFERROR(__xludf.DUMMYFUNCTION("""COMPUTED_VALUE"""),0.0)</f>
        <v>0</v>
      </c>
      <c r="M16" s="3"/>
      <c r="N16" s="3"/>
      <c r="O16" s="3"/>
      <c r="P16" s="3"/>
      <c r="Q16" s="3"/>
      <c r="R16" s="3"/>
    </row>
    <row r="17" ht="15.75" customHeight="1">
      <c r="A17" s="3" t="str">
        <f>IFERROR(__xludf.DUMMYFUNCTION("""COMPUTED_VALUE"""),"Tutor-PE")</f>
        <v>Tutor-PE</v>
      </c>
      <c r="B17" s="8">
        <f>IFERROR(__xludf.DUMMYFUNCTION("""COMPUTED_VALUE"""),1.8274961E7)</f>
        <v>18274961</v>
      </c>
      <c r="C17" s="13">
        <f>IFERROR(__xludf.DUMMYFUNCTION("""COMPUTED_VALUE"""),1.8274961E7)</f>
        <v>18274961</v>
      </c>
      <c r="D17" s="11"/>
      <c r="E17" s="11"/>
      <c r="F17" s="11"/>
      <c r="G17" s="11"/>
      <c r="H17" s="11"/>
      <c r="I17" s="11"/>
      <c r="J17" s="11"/>
      <c r="K17" s="11"/>
      <c r="L17" s="11"/>
      <c r="M17" s="3"/>
      <c r="N17" s="3"/>
      <c r="O17" s="3"/>
      <c r="P17" s="3"/>
      <c r="Q17" s="3"/>
      <c r="R17" s="3"/>
    </row>
    <row r="18" ht="15.75" customHeight="1">
      <c r="A18" s="3" t="str">
        <f>IFERROR(__xludf.DUMMYFUNCTION("""COMPUTED_VALUE"""),"Global-PE")</f>
        <v>Global-PE</v>
      </c>
      <c r="B18" s="8">
        <f>IFERROR(__xludf.DUMMYFUNCTION("""COMPUTED_VALUE"""),8093720.0)</f>
        <v>8093720</v>
      </c>
      <c r="C18" s="13">
        <f>IFERROR(__xludf.DUMMYFUNCTION("""COMPUTED_VALUE"""),8093720.0)</f>
        <v>8093720</v>
      </c>
      <c r="D18" s="11"/>
      <c r="E18" s="11"/>
      <c r="F18" s="11"/>
      <c r="G18" s="11"/>
      <c r="H18" s="11"/>
      <c r="I18" s="11"/>
      <c r="J18" s="11"/>
      <c r="K18" s="11"/>
      <c r="L18" s="11"/>
      <c r="M18" s="3"/>
      <c r="N18" s="3"/>
      <c r="O18" s="3"/>
      <c r="P18" s="3"/>
      <c r="Q18" s="3"/>
      <c r="R18" s="3"/>
    </row>
    <row r="19" ht="15.75" customHeight="1">
      <c r="A19" s="3" t="str">
        <f>IFERROR(__xludf.DUMMYFUNCTION("""COMPUTED_VALUE"""),"その他-PE")</f>
        <v>その他-PE</v>
      </c>
      <c r="B19" s="8">
        <f>IFERROR(__xludf.DUMMYFUNCTION("""COMPUTED_VALUE"""),0.0)</f>
        <v>0</v>
      </c>
      <c r="C19" s="11"/>
      <c r="D19" s="13"/>
      <c r="E19" s="11"/>
      <c r="F19" s="11"/>
      <c r="G19" s="11"/>
      <c r="H19" s="11"/>
      <c r="I19" s="11"/>
      <c r="J19" s="11"/>
      <c r="K19" s="11"/>
      <c r="L19" s="11"/>
      <c r="M19" s="3"/>
      <c r="N19" s="3"/>
      <c r="O19" s="3"/>
      <c r="P19" s="3"/>
      <c r="Q19" s="3"/>
      <c r="R19" s="3"/>
    </row>
    <row r="20" ht="15.75" customHeight="1">
      <c r="A20" s="3" t="str">
        <f>IFERROR(__xludf.DUMMYFUNCTION("""COMPUTED_VALUE"""),"講師求人")</f>
        <v>講師求人</v>
      </c>
      <c r="B20" s="8">
        <f>IFERROR(__xludf.DUMMYFUNCTION("""COMPUTED_VALUE"""),0.0)</f>
        <v>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3"/>
      <c r="N20" s="3"/>
      <c r="O20" s="3"/>
      <c r="P20" s="3"/>
      <c r="Q20" s="3"/>
      <c r="R20" s="3"/>
    </row>
    <row r="21" ht="15.75" customHeight="1">
      <c r="A21" s="3" t="str">
        <f>IFERROR(__xludf.DUMMYFUNCTION("""COMPUTED_VALUE"""),"放課後支援")</f>
        <v>放課後支援</v>
      </c>
      <c r="B21" s="8">
        <f>IFERROR(__xludf.DUMMYFUNCTION("""COMPUTED_VALUE"""),1.8877992E7)</f>
        <v>18877992</v>
      </c>
      <c r="C21" s="11"/>
      <c r="D21" s="11"/>
      <c r="E21" s="13">
        <f>IFERROR(__xludf.DUMMYFUNCTION("""COMPUTED_VALUE"""),1.8877992E7)</f>
        <v>18877992</v>
      </c>
      <c r="F21" s="11"/>
      <c r="G21" s="11"/>
      <c r="H21" s="11"/>
      <c r="I21" s="11"/>
      <c r="J21" s="11"/>
      <c r="K21" s="11"/>
      <c r="L21" s="11"/>
      <c r="M21" s="3"/>
      <c r="N21" s="3"/>
      <c r="O21" s="3"/>
      <c r="P21" s="3"/>
      <c r="Q21" s="3"/>
      <c r="R21" s="3"/>
    </row>
    <row r="22" ht="15.75" customHeight="1">
      <c r="A22" s="3" t="str">
        <f>IFERROR(__xludf.DUMMYFUNCTION("""COMPUTED_VALUE"""),"採点OS")</f>
        <v>採点OS</v>
      </c>
      <c r="B22" s="8">
        <f>IFERROR(__xludf.DUMMYFUNCTION("""COMPUTED_VALUE"""),5556099.0)</f>
        <v>5556099</v>
      </c>
      <c r="C22" s="11"/>
      <c r="D22" s="11"/>
      <c r="E22" s="11"/>
      <c r="F22" s="13">
        <f>IFERROR(__xludf.DUMMYFUNCTION("""COMPUTED_VALUE"""),5556099.0)</f>
        <v>5556099</v>
      </c>
      <c r="G22" s="11"/>
      <c r="H22" s="11"/>
      <c r="I22" s="11"/>
      <c r="J22" s="11"/>
      <c r="K22" s="11"/>
      <c r="L22" s="11"/>
      <c r="M22" s="3"/>
      <c r="N22" s="3"/>
      <c r="O22" s="3"/>
      <c r="P22" s="3"/>
      <c r="Q22" s="3"/>
      <c r="R22" s="3"/>
    </row>
    <row r="23" ht="15.75" customHeight="1">
      <c r="A23" s="3" t="str">
        <f>IFERROR(__xludf.DUMMYFUNCTION("""COMPUTED_VALUE"""),"GEC")</f>
        <v>GEC</v>
      </c>
      <c r="B23" s="8">
        <f>IFERROR(__xludf.DUMMYFUNCTION("""COMPUTED_VALUE"""),8526388.0)</f>
        <v>8526388</v>
      </c>
      <c r="C23" s="11"/>
      <c r="D23" s="11"/>
      <c r="E23" s="11"/>
      <c r="F23" s="11"/>
      <c r="G23" s="13">
        <f>IFERROR(__xludf.DUMMYFUNCTION("""COMPUTED_VALUE"""),8526388.0)</f>
        <v>8526388</v>
      </c>
      <c r="H23" s="11"/>
      <c r="I23" s="11"/>
      <c r="J23" s="11"/>
      <c r="K23" s="11"/>
      <c r="L23" s="11"/>
      <c r="M23" s="3"/>
      <c r="N23" s="3"/>
      <c r="O23" s="3"/>
      <c r="P23" s="3"/>
      <c r="Q23" s="3"/>
      <c r="R23" s="3"/>
    </row>
    <row r="24" ht="15.75" customHeight="1">
      <c r="A24" s="3" t="str">
        <f>IFERROR(__xludf.DUMMYFUNCTION("""COMPUTED_VALUE"""),"未来教育創造")</f>
        <v>未来教育創造</v>
      </c>
      <c r="B24" s="8">
        <f>IFERROR(__xludf.DUMMYFUNCTION("""COMPUTED_VALUE"""),0.0)</f>
        <v>0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3"/>
      <c r="N24" s="3"/>
      <c r="O24" s="3"/>
      <c r="P24" s="3"/>
      <c r="Q24" s="3"/>
      <c r="R24" s="3"/>
    </row>
    <row r="25" ht="15.75" customHeight="1">
      <c r="A25" s="3" t="str">
        <f>IFERROR(__xludf.DUMMYFUNCTION("""COMPUTED_VALUE"""),"経営投資")</f>
        <v>経営投資</v>
      </c>
      <c r="B25" s="8">
        <f>IFERROR(__xludf.DUMMYFUNCTION("""COMPUTED_VALUE"""),3916571.0)</f>
        <v>3916571</v>
      </c>
      <c r="C25" s="11"/>
      <c r="D25" s="11"/>
      <c r="E25" s="11"/>
      <c r="F25" s="11"/>
      <c r="G25" s="11"/>
      <c r="H25" s="11"/>
      <c r="I25" s="13">
        <f>IFERROR(__xludf.DUMMYFUNCTION("""COMPUTED_VALUE"""),3916571.0)</f>
        <v>3916571</v>
      </c>
      <c r="J25" s="11"/>
      <c r="K25" s="11"/>
      <c r="L25" s="11"/>
      <c r="M25" s="3"/>
      <c r="N25" s="3"/>
      <c r="O25" s="3"/>
      <c r="P25" s="3"/>
      <c r="Q25" s="3"/>
      <c r="R25" s="3"/>
    </row>
    <row r="26" ht="15.75" customHeight="1">
      <c r="A26" s="3"/>
      <c r="B26" s="12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3"/>
      <c r="N26" s="3"/>
      <c r="O26" s="3"/>
      <c r="P26" s="3"/>
      <c r="Q26" s="3"/>
      <c r="R26" s="3"/>
    </row>
    <row r="27" ht="15.75" customHeight="1">
      <c r="A27" s="3"/>
      <c r="B27" s="12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3"/>
      <c r="N27" s="3"/>
      <c r="O27" s="3"/>
      <c r="P27" s="3"/>
      <c r="Q27" s="3"/>
      <c r="R27" s="3"/>
    </row>
    <row r="28" ht="15.75" customHeight="1">
      <c r="A28" s="3"/>
      <c r="B28" s="12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3"/>
      <c r="N28" s="3"/>
      <c r="O28" s="3"/>
      <c r="P28" s="3"/>
      <c r="Q28" s="3"/>
      <c r="R28" s="3"/>
    </row>
    <row r="29" ht="15.75" customHeight="1">
      <c r="A29" s="6" t="str">
        <f>IFERROR(__xludf.DUMMYFUNCTION("""COMPUTED_VALUE"""),"売上総利益")</f>
        <v>売上総利益</v>
      </c>
      <c r="B29" s="7">
        <f>IFERROR(__xludf.DUMMYFUNCTION("""COMPUTED_VALUE"""),1.09572959E8)</f>
        <v>109572959</v>
      </c>
      <c r="C29" s="7">
        <f>IFERROR(__xludf.DUMMYFUNCTION("""COMPUTED_VALUE"""),3.1915672E7)</f>
        <v>31915672</v>
      </c>
      <c r="D29" s="7">
        <f>IFERROR(__xludf.DUMMYFUNCTION("""COMPUTED_VALUE"""),3.9849205E7)</f>
        <v>39849205</v>
      </c>
      <c r="E29" s="7">
        <f>IFERROR(__xludf.DUMMYFUNCTION("""COMPUTED_VALUE"""),1.5620974E7)</f>
        <v>15620974</v>
      </c>
      <c r="F29" s="7">
        <f>IFERROR(__xludf.DUMMYFUNCTION("""COMPUTED_VALUE"""),5161147.0)</f>
        <v>5161147</v>
      </c>
      <c r="G29" s="7">
        <f>IFERROR(__xludf.DUMMYFUNCTION("""COMPUTED_VALUE"""),1.233855E7)</f>
        <v>12338550</v>
      </c>
      <c r="H29" s="7">
        <f>IFERROR(__xludf.DUMMYFUNCTION("""COMPUTED_VALUE"""),2085820.0)</f>
        <v>2085820</v>
      </c>
      <c r="I29" s="7">
        <f>IFERROR(__xludf.DUMMYFUNCTION("""COMPUTED_VALUE"""),2601591.0)</f>
        <v>2601591</v>
      </c>
      <c r="J29" s="7">
        <f>IFERROR(__xludf.DUMMYFUNCTION("""COMPUTED_VALUE"""),0.0)</f>
        <v>0</v>
      </c>
      <c r="K29" s="7">
        <f>IFERROR(__xludf.DUMMYFUNCTION("""COMPUTED_VALUE"""),0.0)</f>
        <v>0</v>
      </c>
      <c r="L29" s="7">
        <f>IFERROR(__xludf.DUMMYFUNCTION("""COMPUTED_VALUE"""),0.0)</f>
        <v>0</v>
      </c>
      <c r="M29" s="3"/>
      <c r="N29" s="3"/>
      <c r="O29" s="3"/>
      <c r="P29" s="3"/>
      <c r="Q29" s="3"/>
      <c r="R29" s="3"/>
    </row>
    <row r="30" ht="15.75" customHeight="1">
      <c r="A30" s="3" t="str">
        <f>IFERROR(__xludf.DUMMYFUNCTION("""COMPUTED_VALUE"""),"Tutor-PE")</f>
        <v>Tutor-PE</v>
      </c>
      <c r="B30" s="8">
        <f>IFERROR(__xludf.DUMMYFUNCTION("""COMPUTED_VALUE"""),1.8902467E7)</f>
        <v>18902467</v>
      </c>
      <c r="C30" s="8">
        <f>IFERROR(__xludf.DUMMYFUNCTION("""COMPUTED_VALUE"""),1.8902467E7)</f>
        <v>18902467</v>
      </c>
      <c r="D30" s="12" t="str">
        <f>IFERROR(__xludf.DUMMYFUNCTION("""COMPUTED_VALUE"""),"")</f>
        <v/>
      </c>
      <c r="E30" s="12" t="str">
        <f>IFERROR(__xludf.DUMMYFUNCTION("""COMPUTED_VALUE"""),"")</f>
        <v/>
      </c>
      <c r="F30" s="12" t="str">
        <f>IFERROR(__xludf.DUMMYFUNCTION("""COMPUTED_VALUE"""),"")</f>
        <v/>
      </c>
      <c r="G30" s="12" t="str">
        <f>IFERROR(__xludf.DUMMYFUNCTION("""COMPUTED_VALUE"""),"")</f>
        <v/>
      </c>
      <c r="H30" s="12" t="str">
        <f>IFERROR(__xludf.DUMMYFUNCTION("""COMPUTED_VALUE"""),"")</f>
        <v/>
      </c>
      <c r="I30" s="12" t="str">
        <f>IFERROR(__xludf.DUMMYFUNCTION("""COMPUTED_VALUE"""),"")</f>
        <v/>
      </c>
      <c r="J30" s="12" t="str">
        <f>IFERROR(__xludf.DUMMYFUNCTION("""COMPUTED_VALUE"""),"")</f>
        <v/>
      </c>
      <c r="K30" s="12" t="str">
        <f>IFERROR(__xludf.DUMMYFUNCTION("""COMPUTED_VALUE"""),"")</f>
        <v/>
      </c>
      <c r="L30" s="12" t="str">
        <f>IFERROR(__xludf.DUMMYFUNCTION("""COMPUTED_VALUE"""),"")</f>
        <v/>
      </c>
      <c r="M30" s="3"/>
      <c r="N30" s="3"/>
      <c r="O30" s="3"/>
      <c r="P30" s="3"/>
      <c r="Q30" s="3"/>
      <c r="R30" s="3"/>
    </row>
    <row r="31" ht="15.75" customHeight="1">
      <c r="A31" s="3" t="str">
        <f>IFERROR(__xludf.DUMMYFUNCTION("""COMPUTED_VALUE"""),"Global-PE")</f>
        <v>Global-PE</v>
      </c>
      <c r="B31" s="8">
        <f>IFERROR(__xludf.DUMMYFUNCTION("""COMPUTED_VALUE"""),1.3013205E7)</f>
        <v>13013205</v>
      </c>
      <c r="C31" s="8">
        <f>IFERROR(__xludf.DUMMYFUNCTION("""COMPUTED_VALUE"""),1.3013205E7)</f>
        <v>13013205</v>
      </c>
      <c r="D31" s="12" t="str">
        <f>IFERROR(__xludf.DUMMYFUNCTION("""COMPUTED_VALUE"""),"")</f>
        <v/>
      </c>
      <c r="E31" s="12" t="str">
        <f>IFERROR(__xludf.DUMMYFUNCTION("""COMPUTED_VALUE"""),"")</f>
        <v/>
      </c>
      <c r="F31" s="12" t="str">
        <f>IFERROR(__xludf.DUMMYFUNCTION("""COMPUTED_VALUE"""),"")</f>
        <v/>
      </c>
      <c r="G31" s="12" t="str">
        <f>IFERROR(__xludf.DUMMYFUNCTION("""COMPUTED_VALUE"""),"")</f>
        <v/>
      </c>
      <c r="H31" s="12" t="str">
        <f>IFERROR(__xludf.DUMMYFUNCTION("""COMPUTED_VALUE"""),"")</f>
        <v/>
      </c>
      <c r="I31" s="12" t="str">
        <f>IFERROR(__xludf.DUMMYFUNCTION("""COMPUTED_VALUE"""),"")</f>
        <v/>
      </c>
      <c r="J31" s="12" t="str">
        <f>IFERROR(__xludf.DUMMYFUNCTION("""COMPUTED_VALUE"""),"")</f>
        <v/>
      </c>
      <c r="K31" s="12" t="str">
        <f>IFERROR(__xludf.DUMMYFUNCTION("""COMPUTED_VALUE"""),"")</f>
        <v/>
      </c>
      <c r="L31" s="12" t="str">
        <f>IFERROR(__xludf.DUMMYFUNCTION("""COMPUTED_VALUE"""),"")</f>
        <v/>
      </c>
      <c r="M31" s="3"/>
      <c r="N31" s="3"/>
      <c r="O31" s="3"/>
      <c r="P31" s="3"/>
      <c r="Q31" s="3"/>
      <c r="R31" s="3"/>
    </row>
    <row r="32" ht="15.75" customHeight="1">
      <c r="A32" s="3" t="str">
        <f>IFERROR(__xludf.DUMMYFUNCTION("""COMPUTED_VALUE"""),"その他-PE")</f>
        <v>その他-PE</v>
      </c>
      <c r="B32" s="8">
        <f>IFERROR(__xludf.DUMMYFUNCTION("""COMPUTED_VALUE"""),0.0)</f>
        <v>0</v>
      </c>
      <c r="C32" s="8">
        <f>IFERROR(__xludf.DUMMYFUNCTION("""COMPUTED_VALUE"""),0.0)</f>
        <v>0</v>
      </c>
      <c r="D32" s="12" t="str">
        <f>IFERROR(__xludf.DUMMYFUNCTION("""COMPUTED_VALUE"""),"")</f>
        <v/>
      </c>
      <c r="E32" s="12" t="str">
        <f>IFERROR(__xludf.DUMMYFUNCTION("""COMPUTED_VALUE"""),"")</f>
        <v/>
      </c>
      <c r="F32" s="12" t="str">
        <f>IFERROR(__xludf.DUMMYFUNCTION("""COMPUTED_VALUE"""),"")</f>
        <v/>
      </c>
      <c r="G32" s="12" t="str">
        <f>IFERROR(__xludf.DUMMYFUNCTION("""COMPUTED_VALUE"""),"")</f>
        <v/>
      </c>
      <c r="H32" s="12" t="str">
        <f>IFERROR(__xludf.DUMMYFUNCTION("""COMPUTED_VALUE"""),"")</f>
        <v/>
      </c>
      <c r="I32" s="12" t="str">
        <f>IFERROR(__xludf.DUMMYFUNCTION("""COMPUTED_VALUE"""),"")</f>
        <v/>
      </c>
      <c r="J32" s="12" t="str">
        <f>IFERROR(__xludf.DUMMYFUNCTION("""COMPUTED_VALUE"""),"")</f>
        <v/>
      </c>
      <c r="K32" s="12" t="str">
        <f>IFERROR(__xludf.DUMMYFUNCTION("""COMPUTED_VALUE"""),"")</f>
        <v/>
      </c>
      <c r="L32" s="12" t="str">
        <f>IFERROR(__xludf.DUMMYFUNCTION("""COMPUTED_VALUE"""),"")</f>
        <v/>
      </c>
      <c r="M32" s="3"/>
      <c r="N32" s="3"/>
      <c r="O32" s="3"/>
      <c r="P32" s="3"/>
      <c r="Q32" s="3"/>
      <c r="R32" s="3"/>
    </row>
    <row r="33" ht="15.75" customHeight="1">
      <c r="A33" s="3" t="str">
        <f>IFERROR(__xludf.DUMMYFUNCTION("""COMPUTED_VALUE"""),"講師求人")</f>
        <v>講師求人</v>
      </c>
      <c r="B33" s="8">
        <f>IFERROR(__xludf.DUMMYFUNCTION("""COMPUTED_VALUE"""),3.9849205E7)</f>
        <v>39849205</v>
      </c>
      <c r="C33" s="12" t="str">
        <f>IFERROR(__xludf.DUMMYFUNCTION("""COMPUTED_VALUE"""),"")</f>
        <v/>
      </c>
      <c r="D33" s="8">
        <f>IFERROR(__xludf.DUMMYFUNCTION("""COMPUTED_VALUE"""),3.9849205E7)</f>
        <v>39849205</v>
      </c>
      <c r="E33" s="12" t="str">
        <f>IFERROR(__xludf.DUMMYFUNCTION("""COMPUTED_VALUE"""),"")</f>
        <v/>
      </c>
      <c r="F33" s="12" t="str">
        <f>IFERROR(__xludf.DUMMYFUNCTION("""COMPUTED_VALUE"""),"")</f>
        <v/>
      </c>
      <c r="G33" s="12" t="str">
        <f>IFERROR(__xludf.DUMMYFUNCTION("""COMPUTED_VALUE"""),"")</f>
        <v/>
      </c>
      <c r="H33" s="12" t="str">
        <f>IFERROR(__xludf.DUMMYFUNCTION("""COMPUTED_VALUE"""),"")</f>
        <v/>
      </c>
      <c r="I33" s="12" t="str">
        <f>IFERROR(__xludf.DUMMYFUNCTION("""COMPUTED_VALUE"""),"")</f>
        <v/>
      </c>
      <c r="J33" s="12" t="str">
        <f>IFERROR(__xludf.DUMMYFUNCTION("""COMPUTED_VALUE"""),"")</f>
        <v/>
      </c>
      <c r="K33" s="12" t="str">
        <f>IFERROR(__xludf.DUMMYFUNCTION("""COMPUTED_VALUE"""),"")</f>
        <v/>
      </c>
      <c r="L33" s="12" t="str">
        <f>IFERROR(__xludf.DUMMYFUNCTION("""COMPUTED_VALUE"""),"")</f>
        <v/>
      </c>
      <c r="M33" s="3"/>
      <c r="N33" s="3"/>
      <c r="O33" s="3"/>
      <c r="P33" s="3"/>
      <c r="Q33" s="3"/>
      <c r="R33" s="3"/>
    </row>
    <row r="34" ht="15.75" customHeight="1">
      <c r="A34" s="3" t="str">
        <f>IFERROR(__xludf.DUMMYFUNCTION("""COMPUTED_VALUE"""),"放課後支援")</f>
        <v>放課後支援</v>
      </c>
      <c r="B34" s="8">
        <f>IFERROR(__xludf.DUMMYFUNCTION("""COMPUTED_VALUE"""),1.5620974E7)</f>
        <v>15620974</v>
      </c>
      <c r="C34" s="12" t="str">
        <f>IFERROR(__xludf.DUMMYFUNCTION("""COMPUTED_VALUE"""),"")</f>
        <v/>
      </c>
      <c r="D34" s="12" t="str">
        <f>IFERROR(__xludf.DUMMYFUNCTION("""COMPUTED_VALUE"""),"")</f>
        <v/>
      </c>
      <c r="E34" s="8">
        <f>IFERROR(__xludf.DUMMYFUNCTION("""COMPUTED_VALUE"""),1.5620974E7)</f>
        <v>15620974</v>
      </c>
      <c r="F34" s="12" t="str">
        <f>IFERROR(__xludf.DUMMYFUNCTION("""COMPUTED_VALUE"""),"")</f>
        <v/>
      </c>
      <c r="G34" s="12" t="str">
        <f>IFERROR(__xludf.DUMMYFUNCTION("""COMPUTED_VALUE"""),"")</f>
        <v/>
      </c>
      <c r="H34" s="12" t="str">
        <f>IFERROR(__xludf.DUMMYFUNCTION("""COMPUTED_VALUE"""),"")</f>
        <v/>
      </c>
      <c r="I34" s="12" t="str">
        <f>IFERROR(__xludf.DUMMYFUNCTION("""COMPUTED_VALUE"""),"")</f>
        <v/>
      </c>
      <c r="J34" s="12" t="str">
        <f>IFERROR(__xludf.DUMMYFUNCTION("""COMPUTED_VALUE"""),"")</f>
        <v/>
      </c>
      <c r="K34" s="12" t="str">
        <f>IFERROR(__xludf.DUMMYFUNCTION("""COMPUTED_VALUE"""),"")</f>
        <v/>
      </c>
      <c r="L34" s="12" t="str">
        <f>IFERROR(__xludf.DUMMYFUNCTION("""COMPUTED_VALUE"""),"")</f>
        <v/>
      </c>
      <c r="M34" s="3"/>
      <c r="N34" s="3"/>
      <c r="O34" s="3"/>
      <c r="P34" s="3"/>
      <c r="Q34" s="3"/>
      <c r="R34" s="3"/>
    </row>
    <row r="35" ht="15.75" customHeight="1">
      <c r="A35" s="3" t="str">
        <f>IFERROR(__xludf.DUMMYFUNCTION("""COMPUTED_VALUE"""),"採点OS")</f>
        <v>採点OS</v>
      </c>
      <c r="B35" s="8">
        <f>IFERROR(__xludf.DUMMYFUNCTION("""COMPUTED_VALUE"""),5161147.0)</f>
        <v>5161147</v>
      </c>
      <c r="C35" s="12" t="str">
        <f>IFERROR(__xludf.DUMMYFUNCTION("""COMPUTED_VALUE"""),"")</f>
        <v/>
      </c>
      <c r="D35" s="12" t="str">
        <f>IFERROR(__xludf.DUMMYFUNCTION("""COMPUTED_VALUE"""),"")</f>
        <v/>
      </c>
      <c r="E35" s="12" t="str">
        <f>IFERROR(__xludf.DUMMYFUNCTION("""COMPUTED_VALUE"""),"")</f>
        <v/>
      </c>
      <c r="F35" s="8">
        <f>IFERROR(__xludf.DUMMYFUNCTION("""COMPUTED_VALUE"""),5161147.0)</f>
        <v>5161147</v>
      </c>
      <c r="G35" s="12" t="str">
        <f>IFERROR(__xludf.DUMMYFUNCTION("""COMPUTED_VALUE"""),"")</f>
        <v/>
      </c>
      <c r="H35" s="12" t="str">
        <f>IFERROR(__xludf.DUMMYFUNCTION("""COMPUTED_VALUE"""),"")</f>
        <v/>
      </c>
      <c r="I35" s="12" t="str">
        <f>IFERROR(__xludf.DUMMYFUNCTION("""COMPUTED_VALUE"""),"")</f>
        <v/>
      </c>
      <c r="J35" s="12" t="str">
        <f>IFERROR(__xludf.DUMMYFUNCTION("""COMPUTED_VALUE"""),"")</f>
        <v/>
      </c>
      <c r="K35" s="12" t="str">
        <f>IFERROR(__xludf.DUMMYFUNCTION("""COMPUTED_VALUE"""),"")</f>
        <v/>
      </c>
      <c r="L35" s="12" t="str">
        <f>IFERROR(__xludf.DUMMYFUNCTION("""COMPUTED_VALUE"""),"")</f>
        <v/>
      </c>
      <c r="M35" s="3"/>
      <c r="N35" s="3"/>
      <c r="O35" s="3"/>
      <c r="P35" s="3"/>
      <c r="Q35" s="3"/>
      <c r="R35" s="3"/>
    </row>
    <row r="36" ht="15.75" customHeight="1">
      <c r="A36" s="3" t="str">
        <f>IFERROR(__xludf.DUMMYFUNCTION("""COMPUTED_VALUE"""),"GEC")</f>
        <v>GEC</v>
      </c>
      <c r="B36" s="8">
        <f>IFERROR(__xludf.DUMMYFUNCTION("""COMPUTED_VALUE"""),1.233855E7)</f>
        <v>12338550</v>
      </c>
      <c r="C36" s="12" t="str">
        <f>IFERROR(__xludf.DUMMYFUNCTION("""COMPUTED_VALUE"""),"")</f>
        <v/>
      </c>
      <c r="D36" s="12" t="str">
        <f>IFERROR(__xludf.DUMMYFUNCTION("""COMPUTED_VALUE"""),"")</f>
        <v/>
      </c>
      <c r="E36" s="12" t="str">
        <f>IFERROR(__xludf.DUMMYFUNCTION("""COMPUTED_VALUE"""),"")</f>
        <v/>
      </c>
      <c r="F36" s="12" t="str">
        <f>IFERROR(__xludf.DUMMYFUNCTION("""COMPUTED_VALUE"""),"")</f>
        <v/>
      </c>
      <c r="G36" s="8">
        <f>IFERROR(__xludf.DUMMYFUNCTION("""COMPUTED_VALUE"""),1.233855E7)</f>
        <v>12338550</v>
      </c>
      <c r="H36" s="12" t="str">
        <f>IFERROR(__xludf.DUMMYFUNCTION("""COMPUTED_VALUE"""),"")</f>
        <v/>
      </c>
      <c r="I36" s="12" t="str">
        <f>IFERROR(__xludf.DUMMYFUNCTION("""COMPUTED_VALUE"""),"")</f>
        <v/>
      </c>
      <c r="J36" s="12" t="str">
        <f>IFERROR(__xludf.DUMMYFUNCTION("""COMPUTED_VALUE"""),"")</f>
        <v/>
      </c>
      <c r="K36" s="12" t="str">
        <f>IFERROR(__xludf.DUMMYFUNCTION("""COMPUTED_VALUE"""),"")</f>
        <v/>
      </c>
      <c r="L36" s="12" t="str">
        <f>IFERROR(__xludf.DUMMYFUNCTION("""COMPUTED_VALUE"""),"")</f>
        <v/>
      </c>
      <c r="M36" s="3"/>
      <c r="N36" s="3"/>
      <c r="O36" s="3"/>
      <c r="P36" s="3"/>
      <c r="Q36" s="3"/>
      <c r="R36" s="3"/>
    </row>
    <row r="37" ht="15.75" customHeight="1">
      <c r="A37" s="3" t="str">
        <f>IFERROR(__xludf.DUMMYFUNCTION("""COMPUTED_VALUE"""),"未来教育創造")</f>
        <v>未来教育創造</v>
      </c>
      <c r="B37" s="8">
        <f>IFERROR(__xludf.DUMMYFUNCTION("""COMPUTED_VALUE"""),2085820.0)</f>
        <v>2085820</v>
      </c>
      <c r="C37" s="12" t="str">
        <f>IFERROR(__xludf.DUMMYFUNCTION("""COMPUTED_VALUE"""),"")</f>
        <v/>
      </c>
      <c r="D37" s="12" t="str">
        <f>IFERROR(__xludf.DUMMYFUNCTION("""COMPUTED_VALUE"""),"")</f>
        <v/>
      </c>
      <c r="E37" s="12" t="str">
        <f>IFERROR(__xludf.DUMMYFUNCTION("""COMPUTED_VALUE"""),"")</f>
        <v/>
      </c>
      <c r="F37" s="12" t="str">
        <f>IFERROR(__xludf.DUMMYFUNCTION("""COMPUTED_VALUE"""),"")</f>
        <v/>
      </c>
      <c r="G37" s="12" t="str">
        <f>IFERROR(__xludf.DUMMYFUNCTION("""COMPUTED_VALUE"""),"")</f>
        <v/>
      </c>
      <c r="H37" s="8">
        <f>IFERROR(__xludf.DUMMYFUNCTION("""COMPUTED_VALUE"""),2085820.0)</f>
        <v>2085820</v>
      </c>
      <c r="I37" s="12" t="str">
        <f>IFERROR(__xludf.DUMMYFUNCTION("""COMPUTED_VALUE"""),"")</f>
        <v/>
      </c>
      <c r="J37" s="12" t="str">
        <f>IFERROR(__xludf.DUMMYFUNCTION("""COMPUTED_VALUE"""),"")</f>
        <v/>
      </c>
      <c r="K37" s="12" t="str">
        <f>IFERROR(__xludf.DUMMYFUNCTION("""COMPUTED_VALUE"""),"")</f>
        <v/>
      </c>
      <c r="L37" s="12" t="str">
        <f>IFERROR(__xludf.DUMMYFUNCTION("""COMPUTED_VALUE"""),"")</f>
        <v/>
      </c>
      <c r="M37" s="3"/>
      <c r="N37" s="3"/>
      <c r="O37" s="3"/>
      <c r="P37" s="3"/>
      <c r="Q37" s="3"/>
      <c r="R37" s="3"/>
    </row>
    <row r="38" ht="15.75" customHeight="1">
      <c r="A38" s="3" t="str">
        <f>IFERROR(__xludf.DUMMYFUNCTION("""COMPUTED_VALUE"""),"経営投資")</f>
        <v>経営投資</v>
      </c>
      <c r="B38" s="8">
        <f>IFERROR(__xludf.DUMMYFUNCTION("""COMPUTED_VALUE"""),2601591.0)</f>
        <v>2601591</v>
      </c>
      <c r="C38" s="12" t="str">
        <f>IFERROR(__xludf.DUMMYFUNCTION("""COMPUTED_VALUE"""),"")</f>
        <v/>
      </c>
      <c r="D38" s="12" t="str">
        <f>IFERROR(__xludf.DUMMYFUNCTION("""COMPUTED_VALUE"""),"")</f>
        <v/>
      </c>
      <c r="E38" s="12" t="str">
        <f>IFERROR(__xludf.DUMMYFUNCTION("""COMPUTED_VALUE"""),"")</f>
        <v/>
      </c>
      <c r="F38" s="12" t="str">
        <f>IFERROR(__xludf.DUMMYFUNCTION("""COMPUTED_VALUE"""),"")</f>
        <v/>
      </c>
      <c r="G38" s="12" t="str">
        <f>IFERROR(__xludf.DUMMYFUNCTION("""COMPUTED_VALUE"""),"")</f>
        <v/>
      </c>
      <c r="H38" s="12" t="str">
        <f>IFERROR(__xludf.DUMMYFUNCTION("""COMPUTED_VALUE"""),"")</f>
        <v/>
      </c>
      <c r="I38" s="8">
        <f>IFERROR(__xludf.DUMMYFUNCTION("""COMPUTED_VALUE"""),2601591.0)</f>
        <v>2601591</v>
      </c>
      <c r="J38" s="12" t="str">
        <f>IFERROR(__xludf.DUMMYFUNCTION("""COMPUTED_VALUE"""),"")</f>
        <v/>
      </c>
      <c r="K38" s="12" t="str">
        <f>IFERROR(__xludf.DUMMYFUNCTION("""COMPUTED_VALUE"""),"")</f>
        <v/>
      </c>
      <c r="L38" s="12" t="str">
        <f>IFERROR(__xludf.DUMMYFUNCTION("""COMPUTED_VALUE"""),"")</f>
        <v/>
      </c>
      <c r="M38" s="3"/>
      <c r="N38" s="3"/>
      <c r="O38" s="3"/>
      <c r="P38" s="3"/>
      <c r="Q38" s="3"/>
      <c r="R38" s="3"/>
    </row>
    <row r="39" ht="15.75" customHeight="1">
      <c r="A39" s="3"/>
      <c r="B39" s="8">
        <f>IFERROR(__xludf.DUMMYFUNCTION("""COMPUTED_VALUE"""),0.0)</f>
        <v>0</v>
      </c>
      <c r="C39" s="12" t="str">
        <f>IFERROR(__xludf.DUMMYFUNCTION("""COMPUTED_VALUE"""),"")</f>
        <v/>
      </c>
      <c r="D39" s="12" t="str">
        <f>IFERROR(__xludf.DUMMYFUNCTION("""COMPUTED_VALUE"""),"")</f>
        <v/>
      </c>
      <c r="E39" s="12" t="str">
        <f>IFERROR(__xludf.DUMMYFUNCTION("""COMPUTED_VALUE"""),"")</f>
        <v/>
      </c>
      <c r="F39" s="12" t="str">
        <f>IFERROR(__xludf.DUMMYFUNCTION("""COMPUTED_VALUE"""),"")</f>
        <v/>
      </c>
      <c r="G39" s="12" t="str">
        <f>IFERROR(__xludf.DUMMYFUNCTION("""COMPUTED_VALUE"""),"")</f>
        <v/>
      </c>
      <c r="H39" s="12" t="str">
        <f>IFERROR(__xludf.DUMMYFUNCTION("""COMPUTED_VALUE"""),"")</f>
        <v/>
      </c>
      <c r="I39" s="12" t="str">
        <f>IFERROR(__xludf.DUMMYFUNCTION("""COMPUTED_VALUE"""),"")</f>
        <v/>
      </c>
      <c r="J39" s="12" t="str">
        <f>IFERROR(__xludf.DUMMYFUNCTION("""COMPUTED_VALUE"""),"")</f>
        <v/>
      </c>
      <c r="K39" s="12" t="str">
        <f>IFERROR(__xludf.DUMMYFUNCTION("""COMPUTED_VALUE"""),"")</f>
        <v/>
      </c>
      <c r="L39" s="12" t="str">
        <f>IFERROR(__xludf.DUMMYFUNCTION("""COMPUTED_VALUE"""),"")</f>
        <v/>
      </c>
      <c r="M39" s="3"/>
      <c r="N39" s="3"/>
      <c r="O39" s="3"/>
      <c r="P39" s="3"/>
      <c r="Q39" s="3"/>
      <c r="R39" s="3"/>
    </row>
    <row r="40" ht="15.75" customHeight="1">
      <c r="A40" s="3"/>
      <c r="B40" s="8">
        <f>IFERROR(__xludf.DUMMYFUNCTION("""COMPUTED_VALUE"""),0.0)</f>
        <v>0</v>
      </c>
      <c r="C40" s="12" t="str">
        <f>IFERROR(__xludf.DUMMYFUNCTION("""COMPUTED_VALUE"""),"")</f>
        <v/>
      </c>
      <c r="D40" s="12" t="str">
        <f>IFERROR(__xludf.DUMMYFUNCTION("""COMPUTED_VALUE"""),"")</f>
        <v/>
      </c>
      <c r="E40" s="12" t="str">
        <f>IFERROR(__xludf.DUMMYFUNCTION("""COMPUTED_VALUE"""),"")</f>
        <v/>
      </c>
      <c r="F40" s="12" t="str">
        <f>IFERROR(__xludf.DUMMYFUNCTION("""COMPUTED_VALUE"""),"")</f>
        <v/>
      </c>
      <c r="G40" s="12" t="str">
        <f>IFERROR(__xludf.DUMMYFUNCTION("""COMPUTED_VALUE"""),"")</f>
        <v/>
      </c>
      <c r="H40" s="12" t="str">
        <f>IFERROR(__xludf.DUMMYFUNCTION("""COMPUTED_VALUE"""),"")</f>
        <v/>
      </c>
      <c r="I40" s="12" t="str">
        <f>IFERROR(__xludf.DUMMYFUNCTION("""COMPUTED_VALUE"""),"")</f>
        <v/>
      </c>
      <c r="J40" s="12" t="str">
        <f>IFERROR(__xludf.DUMMYFUNCTION("""COMPUTED_VALUE"""),"")</f>
        <v/>
      </c>
      <c r="K40" s="12" t="str">
        <f>IFERROR(__xludf.DUMMYFUNCTION("""COMPUTED_VALUE"""),"")</f>
        <v/>
      </c>
      <c r="L40" s="12" t="str">
        <f>IFERROR(__xludf.DUMMYFUNCTION("""COMPUTED_VALUE"""),"")</f>
        <v/>
      </c>
      <c r="M40" s="3"/>
      <c r="N40" s="3"/>
      <c r="O40" s="3"/>
      <c r="P40" s="3"/>
      <c r="Q40" s="3"/>
      <c r="R40" s="3"/>
    </row>
    <row r="41" ht="15.75" customHeight="1">
      <c r="A41" s="3"/>
      <c r="B41" s="8">
        <f>IFERROR(__xludf.DUMMYFUNCTION("""COMPUTED_VALUE"""),0.0)</f>
        <v>0</v>
      </c>
      <c r="C41" s="12" t="str">
        <f>IFERROR(__xludf.DUMMYFUNCTION("""COMPUTED_VALUE"""),"")</f>
        <v/>
      </c>
      <c r="D41" s="12" t="str">
        <f>IFERROR(__xludf.DUMMYFUNCTION("""COMPUTED_VALUE"""),"")</f>
        <v/>
      </c>
      <c r="E41" s="12" t="str">
        <f>IFERROR(__xludf.DUMMYFUNCTION("""COMPUTED_VALUE"""),"")</f>
        <v/>
      </c>
      <c r="F41" s="12" t="str">
        <f>IFERROR(__xludf.DUMMYFUNCTION("""COMPUTED_VALUE"""),"")</f>
        <v/>
      </c>
      <c r="G41" s="12" t="str">
        <f>IFERROR(__xludf.DUMMYFUNCTION("""COMPUTED_VALUE"""),"")</f>
        <v/>
      </c>
      <c r="H41" s="12" t="str">
        <f>IFERROR(__xludf.DUMMYFUNCTION("""COMPUTED_VALUE"""),"")</f>
        <v/>
      </c>
      <c r="I41" s="12" t="str">
        <f>IFERROR(__xludf.DUMMYFUNCTION("""COMPUTED_VALUE"""),"")</f>
        <v/>
      </c>
      <c r="J41" s="12" t="str">
        <f>IFERROR(__xludf.DUMMYFUNCTION("""COMPUTED_VALUE"""),"")</f>
        <v/>
      </c>
      <c r="K41" s="12" t="str">
        <f>IFERROR(__xludf.DUMMYFUNCTION("""COMPUTED_VALUE"""),"")</f>
        <v/>
      </c>
      <c r="L41" s="12" t="str">
        <f>IFERROR(__xludf.DUMMYFUNCTION("""COMPUTED_VALUE"""),"")</f>
        <v/>
      </c>
      <c r="M41" s="3"/>
      <c r="N41" s="3"/>
      <c r="O41" s="3"/>
      <c r="P41" s="3"/>
      <c r="Q41" s="3"/>
      <c r="R41" s="3"/>
    </row>
    <row r="42" ht="15.75" customHeight="1">
      <c r="A42" s="3" t="str">
        <f>IFERROR(__xludf.DUMMYFUNCTION("""COMPUTED_VALUE"""),"粗利率")</f>
        <v>粗利率</v>
      </c>
      <c r="B42" s="15">
        <f>IFERROR(__xludf.DUMMYFUNCTION("""COMPUTED_VALUE"""),0.6340341950283271)</f>
        <v>0.634034195</v>
      </c>
      <c r="C42" s="15">
        <f>IFERROR(__xludf.DUMMYFUNCTION("""COMPUTED_VALUE"""),0.5475855929978325)</f>
        <v>0.547585593</v>
      </c>
      <c r="D42" s="15">
        <f>IFERROR(__xludf.DUMMYFUNCTION("""COMPUTED_VALUE"""),1.0)</f>
        <v>1</v>
      </c>
      <c r="E42" s="15">
        <f>IFERROR(__xludf.DUMMYFUNCTION("""COMPUTED_VALUE"""),0.452795425810733)</f>
        <v>0.4527954258</v>
      </c>
      <c r="F42" s="15">
        <f>IFERROR(__xludf.DUMMYFUNCTION("""COMPUTED_VALUE"""),0.4815739976482764)</f>
        <v>0.4815739976</v>
      </c>
      <c r="G42" s="15">
        <f>IFERROR(__xludf.DUMMYFUNCTION("""COMPUTED_VALUE"""),0.5913533028471016)</f>
        <v>0.5913533028</v>
      </c>
      <c r="H42" s="15">
        <f>IFERROR(__xludf.DUMMYFUNCTION("""COMPUTED_VALUE"""),1.0)</f>
        <v>1</v>
      </c>
      <c r="I42" s="15">
        <f>IFERROR(__xludf.DUMMYFUNCTION("""COMPUTED_VALUE"""),0.399129539891767)</f>
        <v>0.3991295399</v>
      </c>
      <c r="J42" s="16" t="str">
        <f>IFERROR(__xludf.DUMMYFUNCTION("""COMPUTED_VALUE"""),"")</f>
        <v/>
      </c>
      <c r="K42" s="16" t="str">
        <f>IFERROR(__xludf.DUMMYFUNCTION("""COMPUTED_VALUE"""),"")</f>
        <v/>
      </c>
      <c r="L42" s="16" t="str">
        <f>IFERROR(__xludf.DUMMYFUNCTION("""COMPUTED_VALUE"""),"")</f>
        <v/>
      </c>
      <c r="M42" s="3"/>
      <c r="N42" s="3"/>
      <c r="O42" s="3"/>
      <c r="P42" s="3"/>
      <c r="Q42" s="3"/>
      <c r="R42" s="3"/>
    </row>
    <row r="43" ht="15.7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ht="15.75" customHeight="1">
      <c r="A44" s="6" t="str">
        <f>IFERROR(__xludf.DUMMYFUNCTION("""COMPUTED_VALUE"""),"販売管理費")</f>
        <v>販売管理費</v>
      </c>
      <c r="B44" s="7">
        <f>IFERROR(__xludf.DUMMYFUNCTION("""COMPUTED_VALUE"""),1.0202149909090908E8)</f>
        <v>102021499.1</v>
      </c>
      <c r="C44" s="7">
        <f>IFERROR(__xludf.DUMMYFUNCTION("""COMPUTED_VALUE"""),1.857400281818182E7)</f>
        <v>18574002.82</v>
      </c>
      <c r="D44" s="7">
        <f>IFERROR(__xludf.DUMMYFUNCTION("""COMPUTED_VALUE"""),2.2626422454545453E7)</f>
        <v>22626422.45</v>
      </c>
      <c r="E44" s="7">
        <f>IFERROR(__xludf.DUMMYFUNCTION("""COMPUTED_VALUE"""),1.1046561E7)</f>
        <v>11046561</v>
      </c>
      <c r="F44" s="7">
        <f>IFERROR(__xludf.DUMMYFUNCTION("""COMPUTED_VALUE"""),2113357.909090909)</f>
        <v>2113357.909</v>
      </c>
      <c r="G44" s="7">
        <f>IFERROR(__xludf.DUMMYFUNCTION("""COMPUTED_VALUE"""),3286741.6363636367)</f>
        <v>3286741.636</v>
      </c>
      <c r="H44" s="7">
        <f>IFERROR(__xludf.DUMMYFUNCTION("""COMPUTED_VALUE"""),6115494.818181818)</f>
        <v>6115494.818</v>
      </c>
      <c r="I44" s="7">
        <f>IFERROR(__xludf.DUMMYFUNCTION("""COMPUTED_VALUE"""),1.1715303636363637E7)</f>
        <v>11715303.64</v>
      </c>
      <c r="J44" s="7">
        <f>IFERROR(__xludf.DUMMYFUNCTION("""COMPUTED_VALUE"""),3142614.090909091)</f>
        <v>3142614.091</v>
      </c>
      <c r="K44" s="7">
        <f>IFERROR(__xludf.DUMMYFUNCTION("""COMPUTED_VALUE"""),1.0263952363636363E7)</f>
        <v>10263952.36</v>
      </c>
      <c r="L44" s="7">
        <f>IFERROR(__xludf.DUMMYFUNCTION("""COMPUTED_VALUE"""),1.3137048363636363E7)</f>
        <v>13137048.36</v>
      </c>
      <c r="M44" s="3"/>
      <c r="N44" s="3"/>
      <c r="O44" s="3"/>
      <c r="P44" s="3"/>
      <c r="Q44" s="3"/>
      <c r="R44" s="3"/>
    </row>
    <row r="45" ht="15.75" customHeight="1">
      <c r="A45" s="3" t="str">
        <f>IFERROR(__xludf.DUMMYFUNCTION("""COMPUTED_VALUE"""),"通信費")</f>
        <v>通信費</v>
      </c>
      <c r="B45" s="8">
        <f>IFERROR(__xludf.DUMMYFUNCTION("""COMPUTED_VALUE"""),8471251.0)</f>
        <v>8471251</v>
      </c>
      <c r="C45" s="17">
        <f>IFERROR(__xludf.DUMMYFUNCTION("""COMPUTED_VALUE"""),363305.0)</f>
        <v>363305</v>
      </c>
      <c r="D45" s="17">
        <f>IFERROR(__xludf.DUMMYFUNCTION("""COMPUTED_VALUE"""),3634947.0)</f>
        <v>3634947</v>
      </c>
      <c r="E45" s="17">
        <f>IFERROR(__xludf.DUMMYFUNCTION("""COMPUTED_VALUE"""),410172.0)</f>
        <v>410172</v>
      </c>
      <c r="F45" s="17">
        <f>IFERROR(__xludf.DUMMYFUNCTION("""COMPUTED_VALUE"""),3828.0)</f>
        <v>3828</v>
      </c>
      <c r="G45" s="17">
        <f>IFERROR(__xludf.DUMMYFUNCTION("""COMPUTED_VALUE"""),40182.0)</f>
        <v>40182</v>
      </c>
      <c r="H45" s="17">
        <f>IFERROR(__xludf.DUMMYFUNCTION("""COMPUTED_VALUE"""),35432.0)</f>
        <v>35432</v>
      </c>
      <c r="I45" s="17">
        <f>IFERROR(__xludf.DUMMYFUNCTION("""COMPUTED_VALUE"""),1399573.0)</f>
        <v>1399573</v>
      </c>
      <c r="J45" s="17">
        <f>IFERROR(__xludf.DUMMYFUNCTION("""COMPUTED_VALUE"""),803672.0)</f>
        <v>803672</v>
      </c>
      <c r="K45" s="17">
        <f>IFERROR(__xludf.DUMMYFUNCTION("""COMPUTED_VALUE"""),1780140.0)</f>
        <v>1780140</v>
      </c>
      <c r="L45" s="17">
        <f>IFERROR(__xludf.DUMMYFUNCTION("""COMPUTED_VALUE"""),0.0)</f>
        <v>0</v>
      </c>
      <c r="M45" s="3"/>
      <c r="N45" s="3"/>
      <c r="O45" s="3"/>
      <c r="P45" s="3"/>
      <c r="Q45" s="3"/>
      <c r="R45" s="3"/>
    </row>
    <row r="46" ht="15.75" customHeight="1">
      <c r="A46" s="18" t="str">
        <f>IFERROR(__xludf.DUMMYFUNCTION("""COMPUTED_VALUE"""),"電話料金")</f>
        <v>電話料金</v>
      </c>
      <c r="B46" s="8">
        <f>IFERROR(__xludf.DUMMYFUNCTION("""COMPUTED_VALUE"""),330896.0)</f>
        <v>330896</v>
      </c>
      <c r="C46" s="9">
        <f>IFERROR(__xludf.DUMMYFUNCTION("""COMPUTED_VALUE"""),153503.0)</f>
        <v>153503</v>
      </c>
      <c r="D46" s="9">
        <f>IFERROR(__xludf.DUMMYFUNCTION("""COMPUTED_VALUE"""),38761.0)</f>
        <v>38761</v>
      </c>
      <c r="E46" s="9">
        <f>IFERROR(__xludf.DUMMYFUNCTION("""COMPUTED_VALUE"""),54686.0)</f>
        <v>54686</v>
      </c>
      <c r="F46" s="9">
        <f>IFERROR(__xludf.DUMMYFUNCTION("""COMPUTED_VALUE"""),3324.0)</f>
        <v>3324</v>
      </c>
      <c r="G46" s="9">
        <f>IFERROR(__xludf.DUMMYFUNCTION("""COMPUTED_VALUE"""),20530.0)</f>
        <v>20530</v>
      </c>
      <c r="H46" s="9">
        <f>IFERROR(__xludf.DUMMYFUNCTION("""COMPUTED_VALUE"""),5003.0)</f>
        <v>5003</v>
      </c>
      <c r="I46" s="9">
        <f>IFERROR(__xludf.DUMMYFUNCTION("""COMPUTED_VALUE"""),15243.0)</f>
        <v>15243</v>
      </c>
      <c r="J46" s="10">
        <f>IFERROR(__xludf.DUMMYFUNCTION("""COMPUTED_VALUE"""),0.0)</f>
        <v>0</v>
      </c>
      <c r="K46" s="9">
        <f>IFERROR(__xludf.DUMMYFUNCTION("""COMPUTED_VALUE"""),39846.0)</f>
        <v>39846</v>
      </c>
      <c r="L46" s="10">
        <f>IFERROR(__xludf.DUMMYFUNCTION("""COMPUTED_VALUE"""),0.0)</f>
        <v>0</v>
      </c>
      <c r="M46" s="3"/>
      <c r="N46" s="5" t="str">
        <f>IFERROR(__xludf.DUMMYFUNCTION("""COMPUTED_VALUE"""),"訂正記録")</f>
        <v>訂正記録</v>
      </c>
      <c r="O46" s="3"/>
      <c r="P46" s="3"/>
      <c r="Q46" s="3"/>
      <c r="R46" s="3"/>
    </row>
    <row r="47" ht="15.75" customHeight="1">
      <c r="A47" s="18" t="str">
        <f>IFERROR(__xludf.DUMMYFUNCTION("""COMPUTED_VALUE"""),"送料")</f>
        <v>送料</v>
      </c>
      <c r="B47" s="8">
        <f>IFERROR(__xludf.DUMMYFUNCTION("""COMPUTED_VALUE"""),76951.0)</f>
        <v>76951</v>
      </c>
      <c r="C47" s="9">
        <f>IFERROR(__xludf.DUMMYFUNCTION("""COMPUTED_VALUE"""),32756.0)</f>
        <v>32756</v>
      </c>
      <c r="D47" s="9">
        <f>IFERROR(__xludf.DUMMYFUNCTION("""COMPUTED_VALUE"""),168.0)</f>
        <v>168</v>
      </c>
      <c r="E47" s="9">
        <f>IFERROR(__xludf.DUMMYFUNCTION("""COMPUTED_VALUE"""),6110.0)</f>
        <v>6110</v>
      </c>
      <c r="F47" s="9">
        <f>IFERROR(__xludf.DUMMYFUNCTION("""COMPUTED_VALUE"""),504.0)</f>
        <v>504</v>
      </c>
      <c r="G47" s="9">
        <f>IFERROR(__xludf.DUMMYFUNCTION("""COMPUTED_VALUE"""),2712.0)</f>
        <v>2712</v>
      </c>
      <c r="H47" s="9">
        <f>IFERROR(__xludf.DUMMYFUNCTION("""COMPUTED_VALUE"""),3888.0)</f>
        <v>3888</v>
      </c>
      <c r="I47" s="9">
        <f>IFERROR(__xludf.DUMMYFUNCTION("""COMPUTED_VALUE"""),1390.0)</f>
        <v>1390</v>
      </c>
      <c r="J47" s="10">
        <f>IFERROR(__xludf.DUMMYFUNCTION("""COMPUTED_VALUE"""),0.0)</f>
        <v>0</v>
      </c>
      <c r="K47" s="9">
        <f>IFERROR(__xludf.DUMMYFUNCTION("""COMPUTED_VALUE"""),29423.0)</f>
        <v>29423</v>
      </c>
      <c r="L47" s="10">
        <f>IFERROR(__xludf.DUMMYFUNCTION("""COMPUTED_VALUE"""),0.0)</f>
        <v>0</v>
      </c>
      <c r="M47" s="3"/>
      <c r="N47" s="5" t="str">
        <f>IFERROR(__xludf.DUMMYFUNCTION("""COMPUTED_VALUE"""),"部門")</f>
        <v>部門</v>
      </c>
      <c r="O47" s="5" t="str">
        <f>IFERROR(__xludf.DUMMYFUNCTION("""COMPUTED_VALUE"""),"科目")</f>
        <v>科目</v>
      </c>
      <c r="P47" s="5" t="str">
        <f>IFERROR(__xludf.DUMMYFUNCTION("""COMPUTED_VALUE"""),"金額")</f>
        <v>金額</v>
      </c>
      <c r="Q47" s="5" t="str">
        <f>IFERROR(__xludf.DUMMYFUNCTION("""COMPUTED_VALUE"""),"内容")</f>
        <v>内容</v>
      </c>
      <c r="R47" s="3"/>
    </row>
    <row r="48" ht="15.75" customHeight="1">
      <c r="A48" s="18" t="str">
        <f>IFERROR(__xludf.DUMMYFUNCTION("""COMPUTED_VALUE"""),"ASP・ｻｰﾊﾞ・ﾄﾞﾒｲﾝ代")</f>
        <v>ASP・ｻｰﾊﾞ・ﾄﾞﾒｲﾝ代</v>
      </c>
      <c r="B48" s="8">
        <f>IFERROR(__xludf.DUMMYFUNCTION("""COMPUTED_VALUE"""),8061204.0)</f>
        <v>8061204</v>
      </c>
      <c r="C48" s="9">
        <f>IFERROR(__xludf.DUMMYFUNCTION("""COMPUTED_VALUE"""),177046.0)</f>
        <v>177046</v>
      </c>
      <c r="D48" s="9">
        <f>IFERROR(__xludf.DUMMYFUNCTION("""COMPUTED_VALUE"""),3596018.0)</f>
        <v>3596018</v>
      </c>
      <c r="E48" s="9">
        <f>IFERROR(__xludf.DUMMYFUNCTION("""COMPUTED_VALUE"""),349376.0)</f>
        <v>349376</v>
      </c>
      <c r="F48" s="9">
        <f>IFERROR(__xludf.DUMMYFUNCTION("""COMPUTED_VALUE"""),0.0)</f>
        <v>0</v>
      </c>
      <c r="G48" s="9">
        <f>IFERROR(__xludf.DUMMYFUNCTION("""COMPUTED_VALUE"""),16940.0)</f>
        <v>16940</v>
      </c>
      <c r="H48" s="9">
        <f>IFERROR(__xludf.DUMMYFUNCTION("""COMPUTED_VALUE"""),26541.0)</f>
        <v>26541</v>
      </c>
      <c r="I48" s="9">
        <f>IFERROR(__xludf.DUMMYFUNCTION("""COMPUTED_VALUE"""),1382940.0)</f>
        <v>1382940</v>
      </c>
      <c r="J48" s="9">
        <f>IFERROR(__xludf.DUMMYFUNCTION("""COMPUTED_VALUE"""),803672.0)</f>
        <v>803672</v>
      </c>
      <c r="K48" s="9">
        <f>IFERROR(__xludf.DUMMYFUNCTION("""COMPUTED_VALUE"""),1708671.0)</f>
        <v>1708671</v>
      </c>
      <c r="L48" s="10">
        <f>IFERROR(__xludf.DUMMYFUNCTION("""COMPUTED_VALUE"""),0.0)</f>
        <v>0</v>
      </c>
      <c r="M48" s="3"/>
      <c r="N48" s="5" t="str">
        <f>IFERROR(__xludf.DUMMYFUNCTION("""COMPUTED_VALUE"""),"塾支援")</f>
        <v>塾支援</v>
      </c>
      <c r="O48" s="5" t="str">
        <f>IFERROR(__xludf.DUMMYFUNCTION("""COMPUTED_VALUE"""),"通信費")</f>
        <v>通信費</v>
      </c>
      <c r="P48" s="19">
        <f>IFERROR(__xludf.DUMMYFUNCTION("""COMPUTED_VALUE"""),264000.0)</f>
        <v>264000</v>
      </c>
      <c r="Q48" s="5" t="str">
        <f>IFERROR(__xludf.DUMMYFUNCTION("""COMPUTED_VALUE"""),"株式会社イルグルム")</f>
        <v>株式会社イルグルム</v>
      </c>
      <c r="R48" s="3"/>
    </row>
    <row r="49" ht="15.75" customHeight="1">
      <c r="A49" s="18" t="str">
        <f>IFERROR(__xludf.DUMMYFUNCTION("""COMPUTED_VALUE"""),"その他")</f>
        <v>その他</v>
      </c>
      <c r="B49" s="8">
        <f>IFERROR(__xludf.DUMMYFUNCTION("""COMPUTED_VALUE"""),2200.0)</f>
        <v>2200</v>
      </c>
      <c r="C49" s="9">
        <f>IFERROR(__xludf.DUMMYFUNCTION("""COMPUTED_VALUE"""),0.0)</f>
        <v>0</v>
      </c>
      <c r="D49" s="9">
        <f>IFERROR(__xludf.DUMMYFUNCTION("""COMPUTED_VALUE"""),0.0)</f>
        <v>0</v>
      </c>
      <c r="E49" s="10">
        <f>IFERROR(__xludf.DUMMYFUNCTION("""COMPUTED_VALUE"""),0.0)</f>
        <v>0</v>
      </c>
      <c r="F49" s="10">
        <f>IFERROR(__xludf.DUMMYFUNCTION("""COMPUTED_VALUE"""),0.0)</f>
        <v>0</v>
      </c>
      <c r="G49" s="10">
        <f>IFERROR(__xludf.DUMMYFUNCTION("""COMPUTED_VALUE"""),0.0)</f>
        <v>0</v>
      </c>
      <c r="H49" s="9">
        <f>IFERROR(__xludf.DUMMYFUNCTION("""COMPUTED_VALUE"""),0.0)</f>
        <v>0</v>
      </c>
      <c r="I49" s="10">
        <f>IFERROR(__xludf.DUMMYFUNCTION("""COMPUTED_VALUE"""),0.0)</f>
        <v>0</v>
      </c>
      <c r="J49" s="10">
        <f>IFERROR(__xludf.DUMMYFUNCTION("""COMPUTED_VALUE"""),0.0)</f>
        <v>0</v>
      </c>
      <c r="K49" s="9">
        <f>IFERROR(__xludf.DUMMYFUNCTION("""COMPUTED_VALUE"""),2200.0)</f>
        <v>2200</v>
      </c>
      <c r="L49" s="10">
        <f>IFERROR(__xludf.DUMMYFUNCTION("""COMPUTED_VALUE"""),0.0)</f>
        <v>0</v>
      </c>
      <c r="M49" s="3"/>
      <c r="N49" s="3"/>
      <c r="O49" s="3"/>
      <c r="P49" s="3"/>
      <c r="Q49" s="3"/>
      <c r="R49" s="3"/>
    </row>
    <row r="50" ht="15.75" customHeight="1">
      <c r="A50" s="3" t="str">
        <f>IFERROR(__xludf.DUMMYFUNCTION("""COMPUTED_VALUE"""),"水道光熱費")</f>
        <v>水道光熱費</v>
      </c>
      <c r="B50" s="8">
        <f>IFERROR(__xludf.DUMMYFUNCTION("""COMPUTED_VALUE"""),228571.0)</f>
        <v>228571</v>
      </c>
      <c r="C50" s="10">
        <f>IFERROR(__xludf.DUMMYFUNCTION("""COMPUTED_VALUE"""),0.0)</f>
        <v>0</v>
      </c>
      <c r="D50" s="9">
        <f>IFERROR(__xludf.DUMMYFUNCTION("""COMPUTED_VALUE"""),0.0)</f>
        <v>0</v>
      </c>
      <c r="E50" s="10">
        <f>IFERROR(__xludf.DUMMYFUNCTION("""COMPUTED_VALUE"""),0.0)</f>
        <v>0</v>
      </c>
      <c r="F50" s="10">
        <f>IFERROR(__xludf.DUMMYFUNCTION("""COMPUTED_VALUE"""),0.0)</f>
        <v>0</v>
      </c>
      <c r="G50" s="10">
        <f>IFERROR(__xludf.DUMMYFUNCTION("""COMPUTED_VALUE"""),0.0)</f>
        <v>0</v>
      </c>
      <c r="H50" s="10">
        <f>IFERROR(__xludf.DUMMYFUNCTION("""COMPUTED_VALUE"""),0.0)</f>
        <v>0</v>
      </c>
      <c r="I50" s="10">
        <f>IFERROR(__xludf.DUMMYFUNCTION("""COMPUTED_VALUE"""),0.0)</f>
        <v>0</v>
      </c>
      <c r="J50" s="10">
        <f>IFERROR(__xludf.DUMMYFUNCTION("""COMPUTED_VALUE"""),0.0)</f>
        <v>0</v>
      </c>
      <c r="K50" s="9">
        <f>IFERROR(__xludf.DUMMYFUNCTION("""COMPUTED_VALUE"""),228571.0)</f>
        <v>228571</v>
      </c>
      <c r="L50" s="10">
        <f>IFERROR(__xludf.DUMMYFUNCTION("""COMPUTED_VALUE"""),0.0)</f>
        <v>0</v>
      </c>
      <c r="M50" s="3"/>
      <c r="N50" s="3"/>
      <c r="O50" s="3"/>
      <c r="P50" s="3"/>
      <c r="Q50" s="3"/>
      <c r="R50" s="3"/>
    </row>
    <row r="51" ht="15.75" customHeight="1">
      <c r="A51" s="3" t="str">
        <f>IFERROR(__xludf.DUMMYFUNCTION("""COMPUTED_VALUE"""),"旅費交通費")</f>
        <v>旅費交通費</v>
      </c>
      <c r="B51" s="8">
        <f>IFERROR(__xludf.DUMMYFUNCTION("""COMPUTED_VALUE"""),677775.0)</f>
        <v>677775</v>
      </c>
      <c r="C51" s="9">
        <f>IFERROR(__xludf.DUMMYFUNCTION("""COMPUTED_VALUE"""),31828.0)</f>
        <v>31828</v>
      </c>
      <c r="D51" s="9">
        <f>IFERROR(__xludf.DUMMYFUNCTION("""COMPUTED_VALUE"""),3452.0)</f>
        <v>3452</v>
      </c>
      <c r="E51" s="9">
        <f>IFERROR(__xludf.DUMMYFUNCTION("""COMPUTED_VALUE"""),280057.0)</f>
        <v>280057</v>
      </c>
      <c r="F51" s="9">
        <f>IFERROR(__xludf.DUMMYFUNCTION("""COMPUTED_VALUE"""),4234.0)</f>
        <v>4234</v>
      </c>
      <c r="G51" s="9">
        <f>IFERROR(__xludf.DUMMYFUNCTION("""COMPUTED_VALUE"""),123955.0)</f>
        <v>123955</v>
      </c>
      <c r="H51" s="9">
        <f>IFERROR(__xludf.DUMMYFUNCTION("""COMPUTED_VALUE"""),51828.0)</f>
        <v>51828</v>
      </c>
      <c r="I51" s="9">
        <f>IFERROR(__xludf.DUMMYFUNCTION("""COMPUTED_VALUE"""),147341.0)</f>
        <v>147341</v>
      </c>
      <c r="J51" s="10">
        <f>IFERROR(__xludf.DUMMYFUNCTION("""COMPUTED_VALUE"""),0.0)</f>
        <v>0</v>
      </c>
      <c r="K51" s="9">
        <f>IFERROR(__xludf.DUMMYFUNCTION("""COMPUTED_VALUE"""),35080.0)</f>
        <v>35080</v>
      </c>
      <c r="L51" s="10">
        <f>IFERROR(__xludf.DUMMYFUNCTION("""COMPUTED_VALUE"""),0.0)</f>
        <v>0</v>
      </c>
      <c r="M51" s="3"/>
      <c r="N51" s="3"/>
      <c r="O51" s="3"/>
      <c r="P51" s="3"/>
      <c r="Q51" s="3"/>
      <c r="R51" s="3"/>
    </row>
    <row r="52" ht="15.75" customHeight="1">
      <c r="A52" s="3" t="str">
        <f>IFERROR(__xludf.DUMMYFUNCTION("""COMPUTED_VALUE"""),"広告宣伝費")</f>
        <v>広告宣伝費</v>
      </c>
      <c r="B52" s="8">
        <f>IFERROR(__xludf.DUMMYFUNCTION("""COMPUTED_VALUE"""),1.4661539E7)</f>
        <v>14661539</v>
      </c>
      <c r="C52" s="17">
        <f>IFERROR(__xludf.DUMMYFUNCTION("""COMPUTED_VALUE"""),4388088.0)</f>
        <v>4388088</v>
      </c>
      <c r="D52" s="17">
        <f>IFERROR(__xludf.DUMMYFUNCTION("""COMPUTED_VALUE"""),6800174.0)</f>
        <v>6800174</v>
      </c>
      <c r="E52" s="17">
        <f>IFERROR(__xludf.DUMMYFUNCTION("""COMPUTED_VALUE"""),4260.0)</f>
        <v>4260</v>
      </c>
      <c r="F52" s="17">
        <f>IFERROR(__xludf.DUMMYFUNCTION("""COMPUTED_VALUE"""),0.0)</f>
        <v>0</v>
      </c>
      <c r="G52" s="17">
        <f>IFERROR(__xludf.DUMMYFUNCTION("""COMPUTED_VALUE"""),1780.0)</f>
        <v>1780</v>
      </c>
      <c r="H52" s="17">
        <f>IFERROR(__xludf.DUMMYFUNCTION("""COMPUTED_VALUE"""),0.0)</f>
        <v>0</v>
      </c>
      <c r="I52" s="17">
        <f>IFERROR(__xludf.DUMMYFUNCTION("""COMPUTED_VALUE"""),878021.0)</f>
        <v>878021</v>
      </c>
      <c r="J52" s="17">
        <f>IFERROR(__xludf.DUMMYFUNCTION("""COMPUTED_VALUE"""),584136.0)</f>
        <v>584136</v>
      </c>
      <c r="K52" s="17">
        <f>IFERROR(__xludf.DUMMYFUNCTION("""COMPUTED_VALUE"""),2005080.0)</f>
        <v>2005080</v>
      </c>
      <c r="L52" s="17">
        <f>IFERROR(__xludf.DUMMYFUNCTION("""COMPUTED_VALUE"""),0.0)</f>
        <v>0</v>
      </c>
      <c r="M52" s="3"/>
      <c r="N52" s="3"/>
      <c r="O52" s="3"/>
      <c r="P52" s="3"/>
      <c r="Q52" s="3"/>
      <c r="R52" s="3"/>
    </row>
    <row r="53" ht="15.75" customHeight="1">
      <c r="A53" s="18" t="str">
        <f>IFERROR(__xludf.DUMMYFUNCTION("""COMPUTED_VALUE"""),"リスティング-Web関連")</f>
        <v>リスティング-Web関連</v>
      </c>
      <c r="B53" s="8">
        <f>IFERROR(__xludf.DUMMYFUNCTION("""COMPUTED_VALUE"""),9696925.0)</f>
        <v>9696925</v>
      </c>
      <c r="C53" s="9">
        <f>IFERROR(__xludf.DUMMYFUNCTION("""COMPUTED_VALUE"""),2904903.0)</f>
        <v>2904903</v>
      </c>
      <c r="D53" s="9">
        <f>IFERROR(__xludf.DUMMYFUNCTION("""COMPUTED_VALUE"""),5700174.0)</f>
        <v>5700174</v>
      </c>
      <c r="E53" s="10">
        <f>IFERROR(__xludf.DUMMYFUNCTION("""COMPUTED_VALUE"""),0.0)</f>
        <v>0</v>
      </c>
      <c r="F53" s="10">
        <f>IFERROR(__xludf.DUMMYFUNCTION("""COMPUTED_VALUE"""),0.0)</f>
        <v>0</v>
      </c>
      <c r="G53" s="10">
        <f>IFERROR(__xludf.DUMMYFUNCTION("""COMPUTED_VALUE"""),0.0)</f>
        <v>0</v>
      </c>
      <c r="H53" s="10">
        <f>IFERROR(__xludf.DUMMYFUNCTION("""COMPUTED_VALUE"""),0.0)</f>
        <v>0</v>
      </c>
      <c r="I53" s="10">
        <f>IFERROR(__xludf.DUMMYFUNCTION("""COMPUTED_VALUE"""),507712.0)</f>
        <v>507712</v>
      </c>
      <c r="J53" s="9">
        <f>IFERROR(__xludf.DUMMYFUNCTION("""COMPUTED_VALUE"""),584136.0)</f>
        <v>584136</v>
      </c>
      <c r="K53" s="10">
        <f>IFERROR(__xludf.DUMMYFUNCTION("""COMPUTED_VALUE"""),0.0)</f>
        <v>0</v>
      </c>
      <c r="L53" s="10">
        <f>IFERROR(__xludf.DUMMYFUNCTION("""COMPUTED_VALUE"""),0.0)</f>
        <v>0</v>
      </c>
      <c r="M53" s="3"/>
      <c r="N53" s="3"/>
      <c r="O53" s="3"/>
      <c r="P53" s="3"/>
      <c r="Q53" s="3"/>
      <c r="R53" s="3"/>
    </row>
    <row r="54" ht="15.75" customHeight="1">
      <c r="A54" s="18" t="str">
        <f>IFERROR(__xludf.DUMMYFUNCTION("""COMPUTED_VALUE"""),"SEO関連-Web関連")</f>
        <v>SEO関連-Web関連</v>
      </c>
      <c r="B54" s="8">
        <f>IFERROR(__xludf.DUMMYFUNCTION("""COMPUTED_VALUE"""),1375000.0)</f>
        <v>1375000</v>
      </c>
      <c r="C54" s="10">
        <f>IFERROR(__xludf.DUMMYFUNCTION("""COMPUTED_VALUE"""),0.0)</f>
        <v>0</v>
      </c>
      <c r="D54" s="9">
        <f>IFERROR(__xludf.DUMMYFUNCTION("""COMPUTED_VALUE"""),1045000.0)</f>
        <v>1045000</v>
      </c>
      <c r="E54" s="10">
        <f>IFERROR(__xludf.DUMMYFUNCTION("""COMPUTED_VALUE"""),0.0)</f>
        <v>0</v>
      </c>
      <c r="F54" s="10">
        <f>IFERROR(__xludf.DUMMYFUNCTION("""COMPUTED_VALUE"""),0.0)</f>
        <v>0</v>
      </c>
      <c r="G54" s="10">
        <f>IFERROR(__xludf.DUMMYFUNCTION("""COMPUTED_VALUE"""),0.0)</f>
        <v>0</v>
      </c>
      <c r="H54" s="10">
        <f>IFERROR(__xludf.DUMMYFUNCTION("""COMPUTED_VALUE"""),0.0)</f>
        <v>0</v>
      </c>
      <c r="I54" s="10">
        <f>IFERROR(__xludf.DUMMYFUNCTION("""COMPUTED_VALUE"""),330000.0)</f>
        <v>330000</v>
      </c>
      <c r="J54" s="10">
        <f>IFERROR(__xludf.DUMMYFUNCTION("""COMPUTED_VALUE"""),0.0)</f>
        <v>0</v>
      </c>
      <c r="K54" s="10">
        <f>IFERROR(__xludf.DUMMYFUNCTION("""COMPUTED_VALUE"""),0.0)</f>
        <v>0</v>
      </c>
      <c r="L54" s="10">
        <f>IFERROR(__xludf.DUMMYFUNCTION("""COMPUTED_VALUE"""),0.0)</f>
        <v>0</v>
      </c>
      <c r="M54" s="3"/>
      <c r="N54" s="3"/>
      <c r="O54" s="3"/>
      <c r="P54" s="3"/>
      <c r="Q54" s="3"/>
      <c r="R54" s="3"/>
    </row>
    <row r="55" ht="15.75" customHeight="1">
      <c r="A55" s="18" t="str">
        <f>IFERROR(__xludf.DUMMYFUNCTION("""COMPUTED_VALUE"""),"アフィリエイト-Web関連")</f>
        <v>アフィリエイト-Web関連</v>
      </c>
      <c r="B55" s="8">
        <f>IFERROR(__xludf.DUMMYFUNCTION("""COMPUTED_VALUE"""),58805.0)</f>
        <v>58805</v>
      </c>
      <c r="C55" s="9">
        <f>IFERROR(__xludf.DUMMYFUNCTION("""COMPUTED_VALUE"""),22605.0)</f>
        <v>22605</v>
      </c>
      <c r="D55" s="9">
        <f>IFERROR(__xludf.DUMMYFUNCTION("""COMPUTED_VALUE"""),0.0)</f>
        <v>0</v>
      </c>
      <c r="E55" s="10">
        <f>IFERROR(__xludf.DUMMYFUNCTION("""COMPUTED_VALUE"""),0.0)</f>
        <v>0</v>
      </c>
      <c r="F55" s="10">
        <f>IFERROR(__xludf.DUMMYFUNCTION("""COMPUTED_VALUE"""),0.0)</f>
        <v>0</v>
      </c>
      <c r="G55" s="10">
        <f>IFERROR(__xludf.DUMMYFUNCTION("""COMPUTED_VALUE"""),0.0)</f>
        <v>0</v>
      </c>
      <c r="H55" s="10">
        <f>IFERROR(__xludf.DUMMYFUNCTION("""COMPUTED_VALUE"""),0.0)</f>
        <v>0</v>
      </c>
      <c r="I55" s="10">
        <f>IFERROR(__xludf.DUMMYFUNCTION("""COMPUTED_VALUE"""),36200.0)</f>
        <v>36200</v>
      </c>
      <c r="J55" s="10">
        <f>IFERROR(__xludf.DUMMYFUNCTION("""COMPUTED_VALUE"""),0.0)</f>
        <v>0</v>
      </c>
      <c r="K55" s="10">
        <f>IFERROR(__xludf.DUMMYFUNCTION("""COMPUTED_VALUE"""),0.0)</f>
        <v>0</v>
      </c>
      <c r="L55" s="10">
        <f>IFERROR(__xludf.DUMMYFUNCTION("""COMPUTED_VALUE"""),0.0)</f>
        <v>0</v>
      </c>
      <c r="M55" s="3"/>
      <c r="N55" s="3"/>
      <c r="O55" s="3"/>
      <c r="P55" s="3"/>
      <c r="Q55" s="3"/>
      <c r="R55" s="3"/>
    </row>
    <row r="56" ht="15.75" customHeight="1">
      <c r="A56" s="18" t="str">
        <f>IFERROR(__xludf.DUMMYFUNCTION("""COMPUTED_VALUE"""),"その他-Web関連")</f>
        <v>その他-Web関連</v>
      </c>
      <c r="B56" s="8">
        <f>IFERROR(__xludf.DUMMYFUNCTION("""COMPUTED_VALUE"""),0.0)</f>
        <v>0</v>
      </c>
      <c r="C56" s="9">
        <f>IFERROR(__xludf.DUMMYFUNCTION("""COMPUTED_VALUE"""),0.0)</f>
        <v>0</v>
      </c>
      <c r="D56" s="9">
        <f>IFERROR(__xludf.DUMMYFUNCTION("""COMPUTED_VALUE"""),0.0)</f>
        <v>0</v>
      </c>
      <c r="E56" s="10">
        <f>IFERROR(__xludf.DUMMYFUNCTION("""COMPUTED_VALUE"""),0.0)</f>
        <v>0</v>
      </c>
      <c r="F56" s="10">
        <f>IFERROR(__xludf.DUMMYFUNCTION("""COMPUTED_VALUE"""),0.0)</f>
        <v>0</v>
      </c>
      <c r="G56" s="10">
        <f>IFERROR(__xludf.DUMMYFUNCTION("""COMPUTED_VALUE"""),0.0)</f>
        <v>0</v>
      </c>
      <c r="H56" s="9">
        <f>IFERROR(__xludf.DUMMYFUNCTION("""COMPUTED_VALUE"""),0.0)</f>
        <v>0</v>
      </c>
      <c r="I56" s="10">
        <f>IFERROR(__xludf.DUMMYFUNCTION("""COMPUTED_VALUE"""),0.0)</f>
        <v>0</v>
      </c>
      <c r="J56" s="10">
        <f>IFERROR(__xludf.DUMMYFUNCTION("""COMPUTED_VALUE"""),0.0)</f>
        <v>0</v>
      </c>
      <c r="K56" s="10">
        <f>IFERROR(__xludf.DUMMYFUNCTION("""COMPUTED_VALUE"""),0.0)</f>
        <v>0</v>
      </c>
      <c r="L56" s="10">
        <f>IFERROR(__xludf.DUMMYFUNCTION("""COMPUTED_VALUE"""),0.0)</f>
        <v>0</v>
      </c>
      <c r="M56" s="3"/>
      <c r="N56" s="3"/>
      <c r="O56" s="3"/>
      <c r="P56" s="3"/>
      <c r="Q56" s="3"/>
      <c r="R56" s="3"/>
    </row>
    <row r="57" ht="15.75" customHeight="1">
      <c r="A57" s="18" t="str">
        <f>IFERROR(__xludf.DUMMYFUNCTION("""COMPUTED_VALUE"""),"印刷関連")</f>
        <v>印刷関連</v>
      </c>
      <c r="B57" s="8">
        <f>IFERROR(__xludf.DUMMYFUNCTION("""COMPUTED_VALUE"""),61849.0)</f>
        <v>61849</v>
      </c>
      <c r="C57" s="10">
        <f>IFERROR(__xludf.DUMMYFUNCTION("""COMPUTED_VALUE"""),0.0)</f>
        <v>0</v>
      </c>
      <c r="D57" s="9">
        <f>IFERROR(__xludf.DUMMYFUNCTION("""COMPUTED_VALUE"""),55000.0)</f>
        <v>55000</v>
      </c>
      <c r="E57" s="10">
        <f>IFERROR(__xludf.DUMMYFUNCTION("""COMPUTED_VALUE"""),4260.0)</f>
        <v>4260</v>
      </c>
      <c r="F57" s="10">
        <f>IFERROR(__xludf.DUMMYFUNCTION("""COMPUTED_VALUE"""),0.0)</f>
        <v>0</v>
      </c>
      <c r="G57" s="9">
        <f>IFERROR(__xludf.DUMMYFUNCTION("""COMPUTED_VALUE"""),1780.0)</f>
        <v>1780</v>
      </c>
      <c r="H57" s="10">
        <f>IFERROR(__xludf.DUMMYFUNCTION("""COMPUTED_VALUE"""),0.0)</f>
        <v>0</v>
      </c>
      <c r="I57" s="9">
        <f>IFERROR(__xludf.DUMMYFUNCTION("""COMPUTED_VALUE"""),809.0)</f>
        <v>809</v>
      </c>
      <c r="J57" s="10">
        <f>IFERROR(__xludf.DUMMYFUNCTION("""COMPUTED_VALUE"""),0.0)</f>
        <v>0</v>
      </c>
      <c r="K57" s="10">
        <f>IFERROR(__xludf.DUMMYFUNCTION("""COMPUTED_VALUE"""),0.0)</f>
        <v>0</v>
      </c>
      <c r="L57" s="10">
        <f>IFERROR(__xludf.DUMMYFUNCTION("""COMPUTED_VALUE"""),0.0)</f>
        <v>0</v>
      </c>
      <c r="M57" s="3"/>
      <c r="N57" s="5" t="str">
        <f>IFERROR(__xludf.DUMMYFUNCTION("""COMPUTED_VALUE"""),"訂正記録")</f>
        <v>訂正記録</v>
      </c>
      <c r="O57" s="3"/>
      <c r="P57" s="3"/>
      <c r="Q57" s="3"/>
      <c r="R57" s="3"/>
    </row>
    <row r="58" ht="15.75" customHeight="1">
      <c r="A58" s="18" t="str">
        <f>IFERROR(__xludf.DUMMYFUNCTION("""COMPUTED_VALUE"""),"交通広告関連")</f>
        <v>交通広告関連</v>
      </c>
      <c r="B58" s="8">
        <f>IFERROR(__xludf.DUMMYFUNCTION("""COMPUTED_VALUE"""),0.0)</f>
        <v>0</v>
      </c>
      <c r="C58" s="10">
        <f>IFERROR(__xludf.DUMMYFUNCTION("""COMPUTED_VALUE"""),0.0)</f>
        <v>0</v>
      </c>
      <c r="D58" s="10">
        <f>IFERROR(__xludf.DUMMYFUNCTION("""COMPUTED_VALUE"""),0.0)</f>
        <v>0</v>
      </c>
      <c r="E58" s="10">
        <f>IFERROR(__xludf.DUMMYFUNCTION("""COMPUTED_VALUE"""),0.0)</f>
        <v>0</v>
      </c>
      <c r="F58" s="10">
        <f>IFERROR(__xludf.DUMMYFUNCTION("""COMPUTED_VALUE"""),0.0)</f>
        <v>0</v>
      </c>
      <c r="G58" s="10">
        <f>IFERROR(__xludf.DUMMYFUNCTION("""COMPUTED_VALUE"""),0.0)</f>
        <v>0</v>
      </c>
      <c r="H58" s="10">
        <f>IFERROR(__xludf.DUMMYFUNCTION("""COMPUTED_VALUE"""),0.0)</f>
        <v>0</v>
      </c>
      <c r="I58" s="10">
        <f>IFERROR(__xludf.DUMMYFUNCTION("""COMPUTED_VALUE"""),0.0)</f>
        <v>0</v>
      </c>
      <c r="J58" s="10">
        <f>IFERROR(__xludf.DUMMYFUNCTION("""COMPUTED_VALUE"""),0.0)</f>
        <v>0</v>
      </c>
      <c r="K58" s="10">
        <f>IFERROR(__xludf.DUMMYFUNCTION("""COMPUTED_VALUE"""),0.0)</f>
        <v>0</v>
      </c>
      <c r="L58" s="10">
        <f>IFERROR(__xludf.DUMMYFUNCTION("""COMPUTED_VALUE"""),0.0)</f>
        <v>0</v>
      </c>
      <c r="M58" s="3"/>
      <c r="N58" s="5" t="str">
        <f>IFERROR(__xludf.DUMMYFUNCTION("""COMPUTED_VALUE"""),"部門")</f>
        <v>部門</v>
      </c>
      <c r="O58" s="5" t="str">
        <f>IFERROR(__xludf.DUMMYFUNCTION("""COMPUTED_VALUE"""),"科目")</f>
        <v>科目</v>
      </c>
      <c r="P58" s="5" t="str">
        <f>IFERROR(__xludf.DUMMYFUNCTION("""COMPUTED_VALUE"""),"金額")</f>
        <v>金額</v>
      </c>
      <c r="Q58" s="5" t="str">
        <f>IFERROR(__xludf.DUMMYFUNCTION("""COMPUTED_VALUE"""),"内容")</f>
        <v>内容</v>
      </c>
      <c r="R58" s="3"/>
    </row>
    <row r="59" ht="15.75" customHeight="1">
      <c r="A59" s="18" t="str">
        <f>IFERROR(__xludf.DUMMYFUNCTION("""COMPUTED_VALUE"""),"求人広告費")</f>
        <v>求人広告費</v>
      </c>
      <c r="B59" s="8">
        <f>IFERROR(__xludf.DUMMYFUNCTION("""COMPUTED_VALUE"""),3358960.0)</f>
        <v>3358960</v>
      </c>
      <c r="C59" s="9">
        <f>IFERROR(__xludf.DUMMYFUNCTION("""COMPUTED_VALUE"""),1350580.0)</f>
        <v>1350580</v>
      </c>
      <c r="D59" s="9">
        <f>IFERROR(__xludf.DUMMYFUNCTION("""COMPUTED_VALUE"""),0.0)</f>
        <v>0</v>
      </c>
      <c r="E59" s="9">
        <f>IFERROR(__xludf.DUMMYFUNCTION("""COMPUTED_VALUE"""),0.0)</f>
        <v>0</v>
      </c>
      <c r="F59" s="10">
        <f>IFERROR(__xludf.DUMMYFUNCTION("""COMPUTED_VALUE"""),0.0)</f>
        <v>0</v>
      </c>
      <c r="G59" s="10">
        <f>IFERROR(__xludf.DUMMYFUNCTION("""COMPUTED_VALUE"""),0.0)</f>
        <v>0</v>
      </c>
      <c r="H59" s="9">
        <f>IFERROR(__xludf.DUMMYFUNCTION("""COMPUTED_VALUE"""),0.0)</f>
        <v>0</v>
      </c>
      <c r="I59" s="10">
        <f>IFERROR(__xludf.DUMMYFUNCTION("""COMPUTED_VALUE"""),3300.0)</f>
        <v>3300</v>
      </c>
      <c r="J59" s="10">
        <f>IFERROR(__xludf.DUMMYFUNCTION("""COMPUTED_VALUE"""),0.0)</f>
        <v>0</v>
      </c>
      <c r="K59" s="9">
        <f>IFERROR(__xludf.DUMMYFUNCTION("""COMPUTED_VALUE"""),2005080.0)</f>
        <v>2005080</v>
      </c>
      <c r="L59" s="10">
        <f>IFERROR(__xludf.DUMMYFUNCTION("""COMPUTED_VALUE"""),0.0)</f>
        <v>0</v>
      </c>
      <c r="M59" s="3"/>
      <c r="N59" s="5" t="str">
        <f>IFERROR(__xludf.DUMMYFUNCTION("""COMPUTED_VALUE"""),"経営投資")</f>
        <v>経営投資</v>
      </c>
      <c r="O59" s="5" t="str">
        <f>IFERROR(__xludf.DUMMYFUNCTION("""COMPUTED_VALUE"""),"求人広告")</f>
        <v>求人広告</v>
      </c>
      <c r="P59" s="19">
        <f>IFERROR(__xludf.DUMMYFUNCTION("""COMPUTED_VALUE"""),3300.0)</f>
        <v>3300</v>
      </c>
      <c r="Q59" s="5" t="str">
        <f>IFERROR(__xludf.DUMMYFUNCTION("""COMPUTED_VALUE"""),"ビースタイル メディア")</f>
        <v>ビースタイル メディア</v>
      </c>
      <c r="R59" s="3"/>
    </row>
    <row r="60" ht="15.75" customHeight="1">
      <c r="A60" s="18" t="str">
        <f>IFERROR(__xludf.DUMMYFUNCTION("""COMPUTED_VALUE"""),"その他")</f>
        <v>その他</v>
      </c>
      <c r="B60" s="8">
        <f>IFERROR(__xludf.DUMMYFUNCTION("""COMPUTED_VALUE"""),110000.0)</f>
        <v>110000</v>
      </c>
      <c r="C60" s="10">
        <f>IFERROR(__xludf.DUMMYFUNCTION("""COMPUTED_VALUE"""),110000.0)</f>
        <v>110000</v>
      </c>
      <c r="D60" s="9">
        <f>IFERROR(__xludf.DUMMYFUNCTION("""COMPUTED_VALUE"""),0.0)</f>
        <v>0</v>
      </c>
      <c r="E60" s="9">
        <f>IFERROR(__xludf.DUMMYFUNCTION("""COMPUTED_VALUE"""),0.0)</f>
        <v>0</v>
      </c>
      <c r="F60" s="10">
        <f>IFERROR(__xludf.DUMMYFUNCTION("""COMPUTED_VALUE"""),0.0)</f>
        <v>0</v>
      </c>
      <c r="G60" s="10">
        <f>IFERROR(__xludf.DUMMYFUNCTION("""COMPUTED_VALUE"""),0.0)</f>
        <v>0</v>
      </c>
      <c r="H60" s="10">
        <f>IFERROR(__xludf.DUMMYFUNCTION("""COMPUTED_VALUE"""),0.0)</f>
        <v>0</v>
      </c>
      <c r="I60" s="10">
        <f>IFERROR(__xludf.DUMMYFUNCTION("""COMPUTED_VALUE"""),0.0)</f>
        <v>0</v>
      </c>
      <c r="J60" s="10">
        <f>IFERROR(__xludf.DUMMYFUNCTION("""COMPUTED_VALUE"""),0.0)</f>
        <v>0</v>
      </c>
      <c r="K60" s="10">
        <f>IFERROR(__xludf.DUMMYFUNCTION("""COMPUTED_VALUE"""),0.0)</f>
        <v>0</v>
      </c>
      <c r="L60" s="10">
        <f>IFERROR(__xludf.DUMMYFUNCTION("""COMPUTED_VALUE"""),0.0)</f>
        <v>0</v>
      </c>
      <c r="M60" s="3"/>
      <c r="N60" s="3"/>
      <c r="O60" s="3"/>
      <c r="P60" s="3"/>
      <c r="Q60" s="3"/>
      <c r="R60" s="3"/>
    </row>
    <row r="61" ht="15.75" customHeight="1">
      <c r="A61" s="3" t="str">
        <f>IFERROR(__xludf.DUMMYFUNCTION("""COMPUTED_VALUE"""),"研修費")</f>
        <v>研修費</v>
      </c>
      <c r="B61" s="8">
        <f>IFERROR(__xludf.DUMMYFUNCTION("""COMPUTED_VALUE"""),1921744.0)</f>
        <v>1921744</v>
      </c>
      <c r="C61" s="10">
        <f>IFERROR(__xludf.DUMMYFUNCTION("""COMPUTED_VALUE"""),1000.0)</f>
        <v>1000</v>
      </c>
      <c r="D61" s="9">
        <f>IFERROR(__xludf.DUMMYFUNCTION("""COMPUTED_VALUE"""),0.0)</f>
        <v>0</v>
      </c>
      <c r="E61" s="9">
        <f>IFERROR(__xludf.DUMMYFUNCTION("""COMPUTED_VALUE"""),692121.0)</f>
        <v>692121</v>
      </c>
      <c r="F61" s="10">
        <f>IFERROR(__xludf.DUMMYFUNCTION("""COMPUTED_VALUE"""),0.0)</f>
        <v>0</v>
      </c>
      <c r="G61" s="10">
        <f>IFERROR(__xludf.DUMMYFUNCTION("""COMPUTED_VALUE"""),0.0)</f>
        <v>0</v>
      </c>
      <c r="H61" s="10">
        <f>IFERROR(__xludf.DUMMYFUNCTION("""COMPUTED_VALUE"""),0.0)</f>
        <v>0</v>
      </c>
      <c r="I61" s="9">
        <f>IFERROR(__xludf.DUMMYFUNCTION("""COMPUTED_VALUE"""),709214.0)</f>
        <v>709214</v>
      </c>
      <c r="J61" s="10">
        <f>IFERROR(__xludf.DUMMYFUNCTION("""COMPUTED_VALUE"""),0.0)</f>
        <v>0</v>
      </c>
      <c r="K61" s="9">
        <f>IFERROR(__xludf.DUMMYFUNCTION("""COMPUTED_VALUE"""),519409.0)</f>
        <v>519409</v>
      </c>
      <c r="L61" s="10">
        <f>IFERROR(__xludf.DUMMYFUNCTION("""COMPUTED_VALUE"""),0.0)</f>
        <v>0</v>
      </c>
      <c r="M61" s="3"/>
      <c r="N61" s="3"/>
      <c r="O61" s="3"/>
      <c r="P61" s="3"/>
      <c r="Q61" s="3"/>
      <c r="R61" s="3"/>
    </row>
    <row r="62" ht="15.75" customHeight="1">
      <c r="A62" s="3" t="str">
        <f>IFERROR(__xludf.DUMMYFUNCTION("""COMPUTED_VALUE"""),"接待交際費")</f>
        <v>接待交際費</v>
      </c>
      <c r="B62" s="8">
        <f>IFERROR(__xludf.DUMMYFUNCTION("""COMPUTED_VALUE"""),94461.0)</f>
        <v>94461</v>
      </c>
      <c r="C62" s="10">
        <f>IFERROR(__xludf.DUMMYFUNCTION("""COMPUTED_VALUE"""),1512.0)</f>
        <v>1512</v>
      </c>
      <c r="D62" s="9">
        <f>IFERROR(__xludf.DUMMYFUNCTION("""COMPUTED_VALUE"""),0.0)</f>
        <v>0</v>
      </c>
      <c r="E62" s="10">
        <f>IFERROR(__xludf.DUMMYFUNCTION("""COMPUTED_VALUE"""),0.0)</f>
        <v>0</v>
      </c>
      <c r="F62" s="10">
        <f>IFERROR(__xludf.DUMMYFUNCTION("""COMPUTED_VALUE"""),0.0)</f>
        <v>0</v>
      </c>
      <c r="G62" s="10">
        <f>IFERROR(__xludf.DUMMYFUNCTION("""COMPUTED_VALUE"""),0.0)</f>
        <v>0</v>
      </c>
      <c r="H62" s="10">
        <f>IFERROR(__xludf.DUMMYFUNCTION("""COMPUTED_VALUE"""),0.0)</f>
        <v>0</v>
      </c>
      <c r="I62" s="10">
        <f>IFERROR(__xludf.DUMMYFUNCTION("""COMPUTED_VALUE"""),30415.0)</f>
        <v>30415</v>
      </c>
      <c r="J62" s="10">
        <f>IFERROR(__xludf.DUMMYFUNCTION("""COMPUTED_VALUE"""),0.0)</f>
        <v>0</v>
      </c>
      <c r="K62" s="9">
        <f>IFERROR(__xludf.DUMMYFUNCTION("""COMPUTED_VALUE"""),62534.0)</f>
        <v>62534</v>
      </c>
      <c r="L62" s="10">
        <f>IFERROR(__xludf.DUMMYFUNCTION("""COMPUTED_VALUE"""),0.0)</f>
        <v>0</v>
      </c>
      <c r="M62" s="3"/>
      <c r="N62" s="3"/>
      <c r="O62" s="3"/>
      <c r="P62" s="3"/>
      <c r="Q62" s="3"/>
      <c r="R62" s="3"/>
    </row>
    <row r="63" ht="15.75" customHeight="1">
      <c r="A63" s="3" t="str">
        <f>IFERROR(__xludf.DUMMYFUNCTION("""COMPUTED_VALUE"""),"会議費")</f>
        <v>会議費</v>
      </c>
      <c r="B63" s="8">
        <f>IFERROR(__xludf.DUMMYFUNCTION("""COMPUTED_VALUE"""),192872.0)</f>
        <v>192872</v>
      </c>
      <c r="C63" s="9">
        <f>IFERROR(__xludf.DUMMYFUNCTION("""COMPUTED_VALUE"""),3454.0)</f>
        <v>3454</v>
      </c>
      <c r="D63" s="9">
        <f>IFERROR(__xludf.DUMMYFUNCTION("""COMPUTED_VALUE"""),0.0)</f>
        <v>0</v>
      </c>
      <c r="E63" s="9">
        <f>IFERROR(__xludf.DUMMYFUNCTION("""COMPUTED_VALUE"""),72406.0)</f>
        <v>72406</v>
      </c>
      <c r="F63" s="10">
        <f>IFERROR(__xludf.DUMMYFUNCTION("""COMPUTED_VALUE"""),0.0)</f>
        <v>0</v>
      </c>
      <c r="G63" s="10">
        <f>IFERROR(__xludf.DUMMYFUNCTION("""COMPUTED_VALUE"""),13160.0)</f>
        <v>13160</v>
      </c>
      <c r="H63" s="10">
        <f>IFERROR(__xludf.DUMMYFUNCTION("""COMPUTED_VALUE"""),0.0)</f>
        <v>0</v>
      </c>
      <c r="I63" s="9">
        <f>IFERROR(__xludf.DUMMYFUNCTION("""COMPUTED_VALUE"""),63652.0)</f>
        <v>63652</v>
      </c>
      <c r="J63" s="10">
        <f>IFERROR(__xludf.DUMMYFUNCTION("""COMPUTED_VALUE"""),0.0)</f>
        <v>0</v>
      </c>
      <c r="K63" s="9">
        <f>IFERROR(__xludf.DUMMYFUNCTION("""COMPUTED_VALUE"""),40200.0)</f>
        <v>40200</v>
      </c>
      <c r="L63" s="10">
        <f>IFERROR(__xludf.DUMMYFUNCTION("""COMPUTED_VALUE"""),0.0)</f>
        <v>0</v>
      </c>
      <c r="M63" s="3"/>
      <c r="N63" s="3"/>
      <c r="O63" s="3"/>
      <c r="P63" s="3"/>
      <c r="Q63" s="3"/>
      <c r="R63" s="3"/>
    </row>
    <row r="64" ht="15.75" customHeight="1">
      <c r="A64" s="3" t="str">
        <f>IFERROR(__xludf.DUMMYFUNCTION("""COMPUTED_VALUE"""),"荷造運搬費")</f>
        <v>荷造運搬費</v>
      </c>
      <c r="B64" s="8">
        <f>IFERROR(__xludf.DUMMYFUNCTION("""COMPUTED_VALUE"""),211096.0)</f>
        <v>211096</v>
      </c>
      <c r="C64" s="10">
        <f>IFERROR(__xludf.DUMMYFUNCTION("""COMPUTED_VALUE"""),0.0)</f>
        <v>0</v>
      </c>
      <c r="D64" s="9">
        <f>IFERROR(__xludf.DUMMYFUNCTION("""COMPUTED_VALUE"""),0.0)</f>
        <v>0</v>
      </c>
      <c r="E64" s="10">
        <f>IFERROR(__xludf.DUMMYFUNCTION("""COMPUTED_VALUE"""),0.0)</f>
        <v>0</v>
      </c>
      <c r="F64" s="10">
        <f>IFERROR(__xludf.DUMMYFUNCTION("""COMPUTED_VALUE"""),0.0)</f>
        <v>0</v>
      </c>
      <c r="G64" s="10">
        <f>IFERROR(__xludf.DUMMYFUNCTION("""COMPUTED_VALUE"""),0.0)</f>
        <v>0</v>
      </c>
      <c r="H64" s="9">
        <f>IFERROR(__xludf.DUMMYFUNCTION("""COMPUTED_VALUE"""),211096.0)</f>
        <v>211096</v>
      </c>
      <c r="I64" s="10">
        <f>IFERROR(__xludf.DUMMYFUNCTION("""COMPUTED_VALUE"""),0.0)</f>
        <v>0</v>
      </c>
      <c r="J64" s="10">
        <f>IFERROR(__xludf.DUMMYFUNCTION("""COMPUTED_VALUE"""),0.0)</f>
        <v>0</v>
      </c>
      <c r="K64" s="10">
        <f>IFERROR(__xludf.DUMMYFUNCTION("""COMPUTED_VALUE"""),0.0)</f>
        <v>0</v>
      </c>
      <c r="L64" s="10">
        <f>IFERROR(__xludf.DUMMYFUNCTION("""COMPUTED_VALUE"""),0.0)</f>
        <v>0</v>
      </c>
      <c r="M64" s="3"/>
      <c r="N64" s="3"/>
      <c r="O64" s="3"/>
      <c r="P64" s="3"/>
      <c r="Q64" s="3"/>
      <c r="R64" s="3"/>
    </row>
    <row r="65" ht="15.75" customHeight="1">
      <c r="A65" s="3" t="str">
        <f>IFERROR(__xludf.DUMMYFUNCTION("""COMPUTED_VALUE"""),"消耗品費")</f>
        <v>消耗品費</v>
      </c>
      <c r="B65" s="8">
        <f>IFERROR(__xludf.DUMMYFUNCTION("""COMPUTED_VALUE"""),358909.0)</f>
        <v>358909</v>
      </c>
      <c r="C65" s="10">
        <f>IFERROR(__xludf.DUMMYFUNCTION("""COMPUTED_VALUE"""),19844.0)</f>
        <v>19844</v>
      </c>
      <c r="D65" s="9">
        <f>IFERROR(__xludf.DUMMYFUNCTION("""COMPUTED_VALUE"""),0.0)</f>
        <v>0</v>
      </c>
      <c r="E65" s="9">
        <f>IFERROR(__xludf.DUMMYFUNCTION("""COMPUTED_VALUE"""),6993.0)</f>
        <v>6993</v>
      </c>
      <c r="F65" s="10">
        <f>IFERROR(__xludf.DUMMYFUNCTION("""COMPUTED_VALUE"""),0.0)</f>
        <v>0</v>
      </c>
      <c r="G65" s="9">
        <f>IFERROR(__xludf.DUMMYFUNCTION("""COMPUTED_VALUE"""),0.0)</f>
        <v>0</v>
      </c>
      <c r="H65" s="9">
        <f>IFERROR(__xludf.DUMMYFUNCTION("""COMPUTED_VALUE"""),0.0)</f>
        <v>0</v>
      </c>
      <c r="I65" s="9">
        <f>IFERROR(__xludf.DUMMYFUNCTION("""COMPUTED_VALUE"""),9750.0)</f>
        <v>9750</v>
      </c>
      <c r="J65" s="10">
        <f>IFERROR(__xludf.DUMMYFUNCTION("""COMPUTED_VALUE"""),0.0)</f>
        <v>0</v>
      </c>
      <c r="K65" s="9">
        <f>IFERROR(__xludf.DUMMYFUNCTION("""COMPUTED_VALUE"""),322322.0)</f>
        <v>322322</v>
      </c>
      <c r="L65" s="10">
        <f>IFERROR(__xludf.DUMMYFUNCTION("""COMPUTED_VALUE"""),0.0)</f>
        <v>0</v>
      </c>
      <c r="M65" s="3"/>
      <c r="N65" s="3"/>
      <c r="O65" s="3"/>
      <c r="P65" s="3"/>
      <c r="Q65" s="3"/>
      <c r="R65" s="3"/>
    </row>
    <row r="66" ht="15.75" customHeight="1">
      <c r="A66" s="3" t="str">
        <f>IFERROR(__xludf.DUMMYFUNCTION("""COMPUTED_VALUE"""),"新聞図書費")</f>
        <v>新聞図書費</v>
      </c>
      <c r="B66" s="8">
        <f>IFERROR(__xludf.DUMMYFUNCTION("""COMPUTED_VALUE"""),53654.0)</f>
        <v>53654</v>
      </c>
      <c r="C66" s="10">
        <f>IFERROR(__xludf.DUMMYFUNCTION("""COMPUTED_VALUE"""),7179.0)</f>
        <v>7179</v>
      </c>
      <c r="D66" s="9">
        <f>IFERROR(__xludf.DUMMYFUNCTION("""COMPUTED_VALUE"""),0.0)</f>
        <v>0</v>
      </c>
      <c r="E66" s="9">
        <f>IFERROR(__xludf.DUMMYFUNCTION("""COMPUTED_VALUE"""),26675.0)</f>
        <v>26675</v>
      </c>
      <c r="F66" s="10">
        <f>IFERROR(__xludf.DUMMYFUNCTION("""COMPUTED_VALUE"""),0.0)</f>
        <v>0</v>
      </c>
      <c r="G66" s="10">
        <f>IFERROR(__xludf.DUMMYFUNCTION("""COMPUTED_VALUE"""),0.0)</f>
        <v>0</v>
      </c>
      <c r="H66" s="9">
        <f>IFERROR(__xludf.DUMMYFUNCTION("""COMPUTED_VALUE"""),19800.0)</f>
        <v>19800</v>
      </c>
      <c r="I66" s="9">
        <f>IFERROR(__xludf.DUMMYFUNCTION("""COMPUTED_VALUE"""),0.0)</f>
        <v>0</v>
      </c>
      <c r="J66" s="10">
        <f>IFERROR(__xludf.DUMMYFUNCTION("""COMPUTED_VALUE"""),0.0)</f>
        <v>0</v>
      </c>
      <c r="K66" s="10">
        <f>IFERROR(__xludf.DUMMYFUNCTION("""COMPUTED_VALUE"""),0.0)</f>
        <v>0</v>
      </c>
      <c r="L66" s="10">
        <f>IFERROR(__xludf.DUMMYFUNCTION("""COMPUTED_VALUE"""),0.0)</f>
        <v>0</v>
      </c>
      <c r="M66" s="3"/>
      <c r="N66" s="3"/>
      <c r="O66" s="3"/>
      <c r="P66" s="3"/>
      <c r="Q66" s="3"/>
      <c r="R66" s="3"/>
    </row>
    <row r="67" ht="15.75" customHeight="1">
      <c r="A67" s="3" t="str">
        <f>IFERROR(__xludf.DUMMYFUNCTION("""COMPUTED_VALUE"""),"保険料")</f>
        <v>保険料</v>
      </c>
      <c r="B67" s="8">
        <f>IFERROR(__xludf.DUMMYFUNCTION("""COMPUTED_VALUE"""),0.0)</f>
        <v>0</v>
      </c>
      <c r="C67" s="10">
        <f>IFERROR(__xludf.DUMMYFUNCTION("""COMPUTED_VALUE"""),0.0)</f>
        <v>0</v>
      </c>
      <c r="D67" s="9">
        <f>IFERROR(__xludf.DUMMYFUNCTION("""COMPUTED_VALUE"""),0.0)</f>
        <v>0</v>
      </c>
      <c r="E67" s="10">
        <f>IFERROR(__xludf.DUMMYFUNCTION("""COMPUTED_VALUE"""),0.0)</f>
        <v>0</v>
      </c>
      <c r="F67" s="10">
        <f>IFERROR(__xludf.DUMMYFUNCTION("""COMPUTED_VALUE"""),0.0)</f>
        <v>0</v>
      </c>
      <c r="G67" s="10">
        <f>IFERROR(__xludf.DUMMYFUNCTION("""COMPUTED_VALUE"""),0.0)</f>
        <v>0</v>
      </c>
      <c r="H67" s="10">
        <f>IFERROR(__xludf.DUMMYFUNCTION("""COMPUTED_VALUE"""),0.0)</f>
        <v>0</v>
      </c>
      <c r="I67" s="10">
        <f>IFERROR(__xludf.DUMMYFUNCTION("""COMPUTED_VALUE"""),0.0)</f>
        <v>0</v>
      </c>
      <c r="J67" s="10">
        <f>IFERROR(__xludf.DUMMYFUNCTION("""COMPUTED_VALUE"""),0.0)</f>
        <v>0</v>
      </c>
      <c r="K67" s="9">
        <f>IFERROR(__xludf.DUMMYFUNCTION("""COMPUTED_VALUE"""),0.0)</f>
        <v>0</v>
      </c>
      <c r="L67" s="10">
        <f>IFERROR(__xludf.DUMMYFUNCTION("""COMPUTED_VALUE"""),0.0)</f>
        <v>0</v>
      </c>
      <c r="M67" s="3"/>
      <c r="N67" s="3"/>
      <c r="O67" s="3"/>
      <c r="P67" s="3"/>
      <c r="Q67" s="3"/>
      <c r="R67" s="3"/>
    </row>
    <row r="68" ht="15.75" customHeight="1">
      <c r="A68" s="3" t="str">
        <f>IFERROR(__xludf.DUMMYFUNCTION("""COMPUTED_VALUE"""),"修繕費")</f>
        <v>修繕費</v>
      </c>
      <c r="B68" s="8">
        <f>IFERROR(__xludf.DUMMYFUNCTION("""COMPUTED_VALUE"""),0.0)</f>
        <v>0</v>
      </c>
      <c r="C68" s="11">
        <f>IFERROR(__xludf.DUMMYFUNCTION("""COMPUTED_VALUE"""),0.0)</f>
        <v>0</v>
      </c>
      <c r="D68" s="11">
        <f>IFERROR(__xludf.DUMMYFUNCTION("""COMPUTED_VALUE"""),0.0)</f>
        <v>0</v>
      </c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11">
        <f>IFERROR(__xludf.DUMMYFUNCTION("""COMPUTED_VALUE"""),0.0)</f>
        <v>0</v>
      </c>
      <c r="I68" s="11">
        <f>IFERROR(__xludf.DUMMYFUNCTION("""COMPUTED_VALUE"""),0.0)</f>
        <v>0</v>
      </c>
      <c r="J68" s="11">
        <f>IFERROR(__xludf.DUMMYFUNCTION("""COMPUTED_VALUE"""),0.0)</f>
        <v>0</v>
      </c>
      <c r="K68" s="11">
        <f>IFERROR(__xludf.DUMMYFUNCTION("""COMPUTED_VALUE"""),0.0)</f>
        <v>0</v>
      </c>
      <c r="L68" s="11">
        <f>IFERROR(__xludf.DUMMYFUNCTION("""COMPUTED_VALUE"""),0.0)</f>
        <v>0</v>
      </c>
      <c r="M68" s="3"/>
      <c r="N68" s="3"/>
      <c r="O68" s="3"/>
      <c r="P68" s="3"/>
      <c r="Q68" s="3"/>
      <c r="R68" s="3"/>
    </row>
    <row r="69" ht="15.75" customHeight="1">
      <c r="A69" s="3" t="str">
        <f>IFERROR(__xludf.DUMMYFUNCTION("""COMPUTED_VALUE"""),"地代家賃")</f>
        <v>地代家賃</v>
      </c>
      <c r="B69" s="8">
        <f>IFERROR(__xludf.DUMMYFUNCTION("""COMPUTED_VALUE"""),5664468.0)</f>
        <v>5664468</v>
      </c>
      <c r="C69" s="10">
        <f>IFERROR(__xludf.DUMMYFUNCTION("""COMPUTED_VALUE"""),0.0)</f>
        <v>0</v>
      </c>
      <c r="D69" s="9">
        <f>IFERROR(__xludf.DUMMYFUNCTION("""COMPUTED_VALUE"""),0.0)</f>
        <v>0</v>
      </c>
      <c r="E69" s="10">
        <f>IFERROR(__xludf.DUMMYFUNCTION("""COMPUTED_VALUE"""),0.0)</f>
        <v>0</v>
      </c>
      <c r="F69" s="10">
        <f>IFERROR(__xludf.DUMMYFUNCTION("""COMPUTED_VALUE"""),0.0)</f>
        <v>0</v>
      </c>
      <c r="G69" s="10">
        <f>IFERROR(__xludf.DUMMYFUNCTION("""COMPUTED_VALUE"""),0.0)</f>
        <v>0</v>
      </c>
      <c r="H69" s="10">
        <f>IFERROR(__xludf.DUMMYFUNCTION("""COMPUTED_VALUE"""),0.0)</f>
        <v>0</v>
      </c>
      <c r="I69" s="9">
        <f>IFERROR(__xludf.DUMMYFUNCTION("""COMPUTED_VALUE"""),6930.0)</f>
        <v>6930</v>
      </c>
      <c r="J69" s="10">
        <f>IFERROR(__xludf.DUMMYFUNCTION("""COMPUTED_VALUE"""),0.0)</f>
        <v>0</v>
      </c>
      <c r="K69" s="10">
        <f>IFERROR(__xludf.DUMMYFUNCTION("""COMPUTED_VALUE"""),0.0)</f>
        <v>0</v>
      </c>
      <c r="L69" s="9">
        <f>IFERROR(__xludf.DUMMYFUNCTION("""COMPUTED_VALUE"""),5657538.0)</f>
        <v>5657538</v>
      </c>
      <c r="M69" s="3"/>
      <c r="N69" s="3"/>
      <c r="O69" s="3"/>
      <c r="P69" s="3"/>
      <c r="Q69" s="3"/>
      <c r="R69" s="3"/>
    </row>
    <row r="70" ht="15.75" customHeight="1">
      <c r="A70" s="3" t="str">
        <f>IFERROR(__xludf.DUMMYFUNCTION("""COMPUTED_VALUE"""),"賃借料")</f>
        <v>賃借料</v>
      </c>
      <c r="B70" s="8">
        <f>IFERROR(__xludf.DUMMYFUNCTION("""COMPUTED_VALUE"""),52800.0)</f>
        <v>52800</v>
      </c>
      <c r="C70" s="11">
        <f>IFERROR(__xludf.DUMMYFUNCTION("""COMPUTED_VALUE"""),0.0)</f>
        <v>0</v>
      </c>
      <c r="D70" s="11">
        <f>IFERROR(__xludf.DUMMYFUNCTION("""COMPUTED_VALUE"""),0.0)</f>
        <v>0</v>
      </c>
      <c r="E70" s="11">
        <f>IFERROR(__xludf.DUMMYFUNCTION("""COMPUTED_VALUE"""),0.0)</f>
        <v>0</v>
      </c>
      <c r="F70" s="11">
        <f>IFERROR(__xludf.DUMMYFUNCTION("""COMPUTED_VALUE"""),0.0)</f>
        <v>0</v>
      </c>
      <c r="G70" s="11">
        <f>IFERROR(__xludf.DUMMYFUNCTION("""COMPUTED_VALUE"""),0.0)</f>
        <v>0</v>
      </c>
      <c r="H70" s="11">
        <f>IFERROR(__xludf.DUMMYFUNCTION("""COMPUTED_VALUE"""),0.0)</f>
        <v>0</v>
      </c>
      <c r="I70" s="11">
        <f>IFERROR(__xludf.DUMMYFUNCTION("""COMPUTED_VALUE"""),3300.0)</f>
        <v>3300</v>
      </c>
      <c r="J70" s="11">
        <f>IFERROR(__xludf.DUMMYFUNCTION("""COMPUTED_VALUE"""),0.0)</f>
        <v>0</v>
      </c>
      <c r="K70" s="11">
        <f>IFERROR(__xludf.DUMMYFUNCTION("""COMPUTED_VALUE"""),49500.0)</f>
        <v>49500</v>
      </c>
      <c r="L70" s="11">
        <f>IFERROR(__xludf.DUMMYFUNCTION("""COMPUTED_VALUE"""),0.0)</f>
        <v>0</v>
      </c>
      <c r="M70" s="3"/>
      <c r="N70" s="3"/>
      <c r="O70" s="3"/>
      <c r="P70" s="3"/>
      <c r="Q70" s="3"/>
      <c r="R70" s="3"/>
    </row>
    <row r="71" ht="15.75" customHeight="1">
      <c r="A71" s="3" t="str">
        <f>IFERROR(__xludf.DUMMYFUNCTION("""COMPUTED_VALUE"""),"法定福利費")</f>
        <v>法定福利費</v>
      </c>
      <c r="B71" s="8">
        <f>IFERROR(__xludf.DUMMYFUNCTION("""COMPUTED_VALUE"""),4844334.0)</f>
        <v>4844334</v>
      </c>
      <c r="C71" s="11">
        <f>IFERROR(__xludf.DUMMYFUNCTION("""COMPUTED_VALUE"""),0.0)</f>
        <v>0</v>
      </c>
      <c r="D71" s="11">
        <f>IFERROR(__xludf.DUMMYFUNCTION("""COMPUTED_VALUE"""),0.0)</f>
        <v>0</v>
      </c>
      <c r="E71" s="11">
        <f>IFERROR(__xludf.DUMMYFUNCTION("""COMPUTED_VALUE"""),0.0)</f>
        <v>0</v>
      </c>
      <c r="F71" s="11">
        <f>IFERROR(__xludf.DUMMYFUNCTION("""COMPUTED_VALUE"""),0.0)</f>
        <v>0</v>
      </c>
      <c r="G71" s="11">
        <f>IFERROR(__xludf.DUMMYFUNCTION("""COMPUTED_VALUE"""),0.0)</f>
        <v>0</v>
      </c>
      <c r="H71" s="11">
        <f>IFERROR(__xludf.DUMMYFUNCTION("""COMPUTED_VALUE"""),0.0)</f>
        <v>0</v>
      </c>
      <c r="I71" s="11">
        <f>IFERROR(__xludf.DUMMYFUNCTION("""COMPUTED_VALUE"""),0.0)</f>
        <v>0</v>
      </c>
      <c r="J71" s="11">
        <f>IFERROR(__xludf.DUMMYFUNCTION("""COMPUTED_VALUE"""),0.0)</f>
        <v>0</v>
      </c>
      <c r="K71" s="11">
        <f>IFERROR(__xludf.DUMMYFUNCTION("""COMPUTED_VALUE"""),0.0)</f>
        <v>0</v>
      </c>
      <c r="L71" s="13">
        <f>IFERROR(__xludf.DUMMYFUNCTION("""COMPUTED_VALUE"""),4844334.0)</f>
        <v>4844334</v>
      </c>
      <c r="M71" s="3" t="str">
        <f>IFERROR(__xludf.DUMMYFUNCTION("""COMPUTED_VALUE"""),"←")</f>
        <v>←</v>
      </c>
      <c r="N71" s="5" t="str">
        <f>IFERROR(__xludf.DUMMYFUNCTION("""COMPUTED_VALUE"""),"法定福利費")</f>
        <v>法定福利費</v>
      </c>
      <c r="O71" s="19">
        <f>IFERROR(__xludf.DUMMYFUNCTION("""COMPUTED_VALUE"""),4844334.0)</f>
        <v>4844334</v>
      </c>
      <c r="P71" s="3"/>
      <c r="Q71" s="3"/>
      <c r="R71" s="3"/>
    </row>
    <row r="72" ht="15.75" customHeight="1">
      <c r="A72" s="3" t="str">
        <f>IFERROR(__xludf.DUMMYFUNCTION("""COMPUTED_VALUE"""),"福利厚生費")</f>
        <v>福利厚生費</v>
      </c>
      <c r="B72" s="8">
        <f>IFERROR(__xludf.DUMMYFUNCTION("""COMPUTED_VALUE"""),187010.0)</f>
        <v>187010</v>
      </c>
      <c r="C72" s="9">
        <f>IFERROR(__xludf.DUMMYFUNCTION("""COMPUTED_VALUE"""),0.0)</f>
        <v>0</v>
      </c>
      <c r="D72" s="9">
        <f>IFERROR(__xludf.DUMMYFUNCTION("""COMPUTED_VALUE"""),0.0)</f>
        <v>0</v>
      </c>
      <c r="E72" s="10">
        <f>IFERROR(__xludf.DUMMYFUNCTION("""COMPUTED_VALUE"""),0.0)</f>
        <v>0</v>
      </c>
      <c r="F72" s="10">
        <f>IFERROR(__xludf.DUMMYFUNCTION("""COMPUTED_VALUE"""),0.0)</f>
        <v>0</v>
      </c>
      <c r="G72" s="10">
        <f>IFERROR(__xludf.DUMMYFUNCTION("""COMPUTED_VALUE"""),0.0)</f>
        <v>0</v>
      </c>
      <c r="H72" s="10">
        <f>IFERROR(__xludf.DUMMYFUNCTION("""COMPUTED_VALUE"""),0.0)</f>
        <v>0</v>
      </c>
      <c r="I72" s="10">
        <f>IFERROR(__xludf.DUMMYFUNCTION("""COMPUTED_VALUE"""),0.0)</f>
        <v>0</v>
      </c>
      <c r="J72" s="10">
        <f>IFERROR(__xludf.DUMMYFUNCTION("""COMPUTED_VALUE"""),0.0)</f>
        <v>0</v>
      </c>
      <c r="K72" s="9">
        <f>IFERROR(__xludf.DUMMYFUNCTION("""COMPUTED_VALUE"""),187010.0)</f>
        <v>187010</v>
      </c>
      <c r="L72" s="10">
        <f>IFERROR(__xludf.DUMMYFUNCTION("""COMPUTED_VALUE"""),0.0)</f>
        <v>0</v>
      </c>
      <c r="M72" s="3"/>
      <c r="N72" s="5" t="str">
        <f>IFERROR(__xludf.DUMMYFUNCTION("""COMPUTED_VALUE"""),"支払")</f>
        <v>支払</v>
      </c>
      <c r="O72" s="19">
        <f>IFERROR(__xludf.DUMMYFUNCTION("""COMPUTED_VALUE"""),9844334.0)</f>
        <v>9844334</v>
      </c>
      <c r="P72" s="3"/>
      <c r="Q72" s="3"/>
      <c r="R72" s="3"/>
    </row>
    <row r="73" ht="15.75" customHeight="1">
      <c r="A73" s="3" t="str">
        <f>IFERROR(__xludf.DUMMYFUNCTION("""COMPUTED_VALUE"""),"租税公課")</f>
        <v>租税公課</v>
      </c>
      <c r="B73" s="8">
        <f>IFERROR(__xludf.DUMMYFUNCTION("""COMPUTED_VALUE"""),0.0)</f>
        <v>0</v>
      </c>
      <c r="C73" s="10">
        <f>IFERROR(__xludf.DUMMYFUNCTION("""COMPUTED_VALUE"""),0.0)</f>
        <v>0</v>
      </c>
      <c r="D73" s="9">
        <f>IFERROR(__xludf.DUMMYFUNCTION("""COMPUTED_VALUE"""),0.0)</f>
        <v>0</v>
      </c>
      <c r="E73" s="10">
        <f>IFERROR(__xludf.DUMMYFUNCTION("""COMPUTED_VALUE"""),0.0)</f>
        <v>0</v>
      </c>
      <c r="F73" s="10">
        <f>IFERROR(__xludf.DUMMYFUNCTION("""COMPUTED_VALUE"""),0.0)</f>
        <v>0</v>
      </c>
      <c r="G73" s="10">
        <f>IFERROR(__xludf.DUMMYFUNCTION("""COMPUTED_VALUE"""),0.0)</f>
        <v>0</v>
      </c>
      <c r="H73" s="10">
        <f>IFERROR(__xludf.DUMMYFUNCTION("""COMPUTED_VALUE"""),0.0)</f>
        <v>0</v>
      </c>
      <c r="I73" s="10">
        <f>IFERROR(__xludf.DUMMYFUNCTION("""COMPUTED_VALUE"""),0.0)</f>
        <v>0</v>
      </c>
      <c r="J73" s="10">
        <f>IFERROR(__xludf.DUMMYFUNCTION("""COMPUTED_VALUE"""),0.0)</f>
        <v>0</v>
      </c>
      <c r="K73" s="9">
        <f>IFERROR(__xludf.DUMMYFUNCTION("""COMPUTED_VALUE"""),0.0)</f>
        <v>0</v>
      </c>
      <c r="L73" s="10">
        <f>IFERROR(__xludf.DUMMYFUNCTION("""COMPUTED_VALUE"""),0.0)</f>
        <v>0</v>
      </c>
      <c r="M73" s="3"/>
      <c r="N73" s="5" t="str">
        <f>IFERROR(__xludf.DUMMYFUNCTION("""COMPUTED_VALUE"""),"給与預り金")</f>
        <v>給与預り金</v>
      </c>
      <c r="O73" s="19">
        <f>IFERROR(__xludf.DUMMYFUNCTION("""COMPUTED_VALUE"""),-5000000.0)</f>
        <v>-5000000</v>
      </c>
      <c r="P73" s="5" t="str">
        <f>IFERROR(__xludf.DUMMYFUNCTION("""COMPUTED_VALUE"""),"←11月給与")</f>
        <v>←11月給与</v>
      </c>
      <c r="Q73" s="3"/>
      <c r="R73" s="3"/>
    </row>
    <row r="74" ht="15.75" customHeight="1">
      <c r="A74" s="3" t="str">
        <f>IFERROR(__xludf.DUMMYFUNCTION("""COMPUTED_VALUE"""),"教務費")</f>
        <v>教務費</v>
      </c>
      <c r="B74" s="8">
        <f>IFERROR(__xludf.DUMMYFUNCTION("""COMPUTED_VALUE"""),131740.0)</f>
        <v>131740</v>
      </c>
      <c r="C74" s="10">
        <f>IFERROR(__xludf.DUMMYFUNCTION("""COMPUTED_VALUE"""),131740.0)</f>
        <v>131740</v>
      </c>
      <c r="D74" s="9">
        <f>IFERROR(__xludf.DUMMYFUNCTION("""COMPUTED_VALUE"""),0.0)</f>
        <v>0</v>
      </c>
      <c r="E74" s="10">
        <f>IFERROR(__xludf.DUMMYFUNCTION("""COMPUTED_VALUE"""),0.0)</f>
        <v>0</v>
      </c>
      <c r="F74" s="10">
        <f>IFERROR(__xludf.DUMMYFUNCTION("""COMPUTED_VALUE"""),0.0)</f>
        <v>0</v>
      </c>
      <c r="G74" s="10">
        <f>IFERROR(__xludf.DUMMYFUNCTION("""COMPUTED_VALUE"""),0.0)</f>
        <v>0</v>
      </c>
      <c r="H74" s="9">
        <f>IFERROR(__xludf.DUMMYFUNCTION("""COMPUTED_VALUE"""),0.0)</f>
        <v>0</v>
      </c>
      <c r="I74" s="10">
        <f>IFERROR(__xludf.DUMMYFUNCTION("""COMPUTED_VALUE"""),0.0)</f>
        <v>0</v>
      </c>
      <c r="J74" s="10">
        <f>IFERROR(__xludf.DUMMYFUNCTION("""COMPUTED_VALUE"""),0.0)</f>
        <v>0</v>
      </c>
      <c r="K74" s="10">
        <f>IFERROR(__xludf.DUMMYFUNCTION("""COMPUTED_VALUE"""),0.0)</f>
        <v>0</v>
      </c>
      <c r="L74" s="10">
        <f>IFERROR(__xludf.DUMMYFUNCTION("""COMPUTED_VALUE"""),0.0)</f>
        <v>0</v>
      </c>
      <c r="M74" s="3"/>
      <c r="N74" s="5" t="str">
        <f>IFERROR(__xludf.DUMMYFUNCTION("""COMPUTED_VALUE"""),"賞与預り金")</f>
        <v>賞与預り金</v>
      </c>
      <c r="O74" s="3"/>
      <c r="P74" s="3"/>
      <c r="Q74" s="3"/>
      <c r="R74" s="3"/>
    </row>
    <row r="75" ht="15.75" customHeight="1">
      <c r="A75" s="3" t="str">
        <f>IFERROR(__xludf.DUMMYFUNCTION("""COMPUTED_VALUE"""),"顧問料（支払報酬料）")</f>
        <v>顧問料（支払報酬料）</v>
      </c>
      <c r="B75" s="8">
        <f>IFERROR(__xludf.DUMMYFUNCTION("""COMPUTED_VALUE"""),1716000.0)</f>
        <v>1716000</v>
      </c>
      <c r="C75" s="10">
        <f>IFERROR(__xludf.DUMMYFUNCTION("""COMPUTED_VALUE"""),0.0)</f>
        <v>0</v>
      </c>
      <c r="D75" s="9">
        <f>IFERROR(__xludf.DUMMYFUNCTION("""COMPUTED_VALUE"""),0.0)</f>
        <v>0</v>
      </c>
      <c r="E75" s="10">
        <f>IFERROR(__xludf.DUMMYFUNCTION("""COMPUTED_VALUE"""),0.0)</f>
        <v>0</v>
      </c>
      <c r="F75" s="10">
        <f>IFERROR(__xludf.DUMMYFUNCTION("""COMPUTED_VALUE"""),0.0)</f>
        <v>0</v>
      </c>
      <c r="G75" s="10">
        <f>IFERROR(__xludf.DUMMYFUNCTION("""COMPUTED_VALUE"""),0.0)</f>
        <v>0</v>
      </c>
      <c r="H75" s="9">
        <f>IFERROR(__xludf.DUMMYFUNCTION("""COMPUTED_VALUE"""),231000.0)</f>
        <v>231000</v>
      </c>
      <c r="I75" s="10">
        <f>IFERROR(__xludf.DUMMYFUNCTION("""COMPUTED_VALUE"""),0.0)</f>
        <v>0</v>
      </c>
      <c r="J75" s="10">
        <f>IFERROR(__xludf.DUMMYFUNCTION("""COMPUTED_VALUE"""),0.0)</f>
        <v>0</v>
      </c>
      <c r="K75" s="9">
        <f>IFERROR(__xludf.DUMMYFUNCTION("""COMPUTED_VALUE"""),1485000.0)</f>
        <v>1485000</v>
      </c>
      <c r="L75" s="10">
        <f>IFERROR(__xludf.DUMMYFUNCTION("""COMPUTED_VALUE"""),0.0)</f>
        <v>0</v>
      </c>
      <c r="M75" s="3"/>
      <c r="N75" s="3"/>
      <c r="O75" s="3"/>
      <c r="P75" s="3"/>
      <c r="Q75" s="3"/>
      <c r="R75" s="3"/>
    </row>
    <row r="76" ht="15.75" customHeight="1">
      <c r="A76" s="3" t="str">
        <f>IFERROR(__xludf.DUMMYFUNCTION("""COMPUTED_VALUE"""),"諸会費")</f>
        <v>諸会費</v>
      </c>
      <c r="B76" s="8">
        <f>IFERROR(__xludf.DUMMYFUNCTION("""COMPUTED_VALUE"""),205500.0)</f>
        <v>205500</v>
      </c>
      <c r="C76" s="10">
        <f>IFERROR(__xludf.DUMMYFUNCTION("""COMPUTED_VALUE"""),0.0)</f>
        <v>0</v>
      </c>
      <c r="D76" s="9">
        <f>IFERROR(__xludf.DUMMYFUNCTION("""COMPUTED_VALUE"""),0.0)</f>
        <v>0</v>
      </c>
      <c r="E76" s="9">
        <f>IFERROR(__xludf.DUMMYFUNCTION("""COMPUTED_VALUE"""),0.0)</f>
        <v>0</v>
      </c>
      <c r="F76" s="10">
        <f>IFERROR(__xludf.DUMMYFUNCTION("""COMPUTED_VALUE"""),0.0)</f>
        <v>0</v>
      </c>
      <c r="G76" s="10">
        <f>IFERROR(__xludf.DUMMYFUNCTION("""COMPUTED_VALUE"""),0.0)</f>
        <v>0</v>
      </c>
      <c r="H76" s="10">
        <f>IFERROR(__xludf.DUMMYFUNCTION("""COMPUTED_VALUE"""),0.0)</f>
        <v>0</v>
      </c>
      <c r="I76" s="9">
        <f>IFERROR(__xludf.DUMMYFUNCTION("""COMPUTED_VALUE"""),5500.0)</f>
        <v>5500</v>
      </c>
      <c r="J76" s="10">
        <f>IFERROR(__xludf.DUMMYFUNCTION("""COMPUTED_VALUE"""),0.0)</f>
        <v>0</v>
      </c>
      <c r="K76" s="9">
        <f>IFERROR(__xludf.DUMMYFUNCTION("""COMPUTED_VALUE"""),200000.0)</f>
        <v>200000</v>
      </c>
      <c r="L76" s="10">
        <f>IFERROR(__xludf.DUMMYFUNCTION("""COMPUTED_VALUE"""),0.0)</f>
        <v>0</v>
      </c>
      <c r="M76" s="3"/>
      <c r="N76" s="3"/>
      <c r="O76" s="3"/>
      <c r="P76" s="3"/>
      <c r="Q76" s="3"/>
      <c r="R76" s="3"/>
    </row>
    <row r="77" ht="15.75" customHeight="1">
      <c r="A77" s="3" t="str">
        <f>IFERROR(__xludf.DUMMYFUNCTION("""COMPUTED_VALUE"""),"給料手当（給与+賞与）")</f>
        <v>給料手当（給与+賞与）</v>
      </c>
      <c r="B77" s="8">
        <f>IFERROR(__xludf.DUMMYFUNCTION("""COMPUTED_VALUE"""),4.4551787E7)</f>
        <v>44551787</v>
      </c>
      <c r="C77" s="17">
        <f>IFERROR(__xludf.DUMMYFUNCTION("""COMPUTED_VALUE"""),9783369.0)</f>
        <v>9783369</v>
      </c>
      <c r="D77" s="17">
        <f>IFERROR(__xludf.DUMMYFUNCTION("""COMPUTED_VALUE"""),7202392.0)</f>
        <v>7202392</v>
      </c>
      <c r="E77" s="17">
        <f>IFERROR(__xludf.DUMMYFUNCTION("""COMPUTED_VALUE"""),7201307.0)</f>
        <v>7201307</v>
      </c>
      <c r="F77" s="17">
        <f>IFERROR(__xludf.DUMMYFUNCTION("""COMPUTED_VALUE"""),1122470.0)</f>
        <v>1122470</v>
      </c>
      <c r="G77" s="17">
        <f>IFERROR(__xludf.DUMMYFUNCTION("""COMPUTED_VALUE"""),1901958.0)</f>
        <v>1901958</v>
      </c>
      <c r="H77" s="17">
        <f>IFERROR(__xludf.DUMMYFUNCTION("""COMPUTED_VALUE"""),4081033.0)</f>
        <v>4081033</v>
      </c>
      <c r="I77" s="17">
        <f>IFERROR(__xludf.DUMMYFUNCTION("""COMPUTED_VALUE"""),5363929.0)</f>
        <v>5363929</v>
      </c>
      <c r="J77" s="17">
        <f>IFERROR(__xludf.DUMMYFUNCTION("""COMPUTED_VALUE"""),1816425.0)</f>
        <v>1816425</v>
      </c>
      <c r="K77" s="17">
        <f>IFERROR(__xludf.DUMMYFUNCTION("""COMPUTED_VALUE"""),2929406.0)</f>
        <v>2929406</v>
      </c>
      <c r="L77" s="17">
        <f>IFERROR(__xludf.DUMMYFUNCTION("""COMPUTED_VALUE"""),3149498.0)</f>
        <v>3149498</v>
      </c>
      <c r="M77" s="3"/>
      <c r="N77" s="3"/>
      <c r="O77" s="3"/>
      <c r="P77" s="3"/>
      <c r="Q77" s="3"/>
      <c r="R77" s="3"/>
    </row>
    <row r="78" ht="15.75" customHeight="1">
      <c r="A78" s="18" t="str">
        <f>IFERROR(__xludf.DUMMYFUNCTION("""COMPUTED_VALUE"""),"正社員")</f>
        <v>正社員</v>
      </c>
      <c r="B78" s="8">
        <f>IFERROR(__xludf.DUMMYFUNCTION("""COMPUTED_VALUE"""),3.6495348E7)</f>
        <v>36495348</v>
      </c>
      <c r="C78" s="13">
        <f>IFERROR(__xludf.DUMMYFUNCTION("""COMPUTED_VALUE"""),6522841.0)</f>
        <v>6522841</v>
      </c>
      <c r="D78" s="13">
        <f>IFERROR(__xludf.DUMMYFUNCTION("""COMPUTED_VALUE"""),5754787.0)</f>
        <v>5754787</v>
      </c>
      <c r="E78" s="13">
        <f>IFERROR(__xludf.DUMMYFUNCTION("""COMPUTED_VALUE"""),6558499.0)</f>
        <v>6558499</v>
      </c>
      <c r="F78" s="13">
        <f>IFERROR(__xludf.DUMMYFUNCTION("""COMPUTED_VALUE"""),1122470.0)</f>
        <v>1122470</v>
      </c>
      <c r="G78" s="13">
        <f>IFERROR(__xludf.DUMMYFUNCTION("""COMPUTED_VALUE"""),1138796.0)</f>
        <v>1138796</v>
      </c>
      <c r="H78" s="13">
        <f>IFERROR(__xludf.DUMMYFUNCTION("""COMPUTED_VALUE"""),3804751.0)</f>
        <v>3804751</v>
      </c>
      <c r="I78" s="13">
        <f>IFERROR(__xludf.DUMMYFUNCTION("""COMPUTED_VALUE"""),4490913.0)</f>
        <v>4490913</v>
      </c>
      <c r="J78" s="13">
        <f>IFERROR(__xludf.DUMMYFUNCTION("""COMPUTED_VALUE"""),1223981.0)</f>
        <v>1223981</v>
      </c>
      <c r="K78" s="13">
        <f>IFERROR(__xludf.DUMMYFUNCTION("""COMPUTED_VALUE"""),2728812.0)</f>
        <v>2728812</v>
      </c>
      <c r="L78" s="13">
        <f>IFERROR(__xludf.DUMMYFUNCTION("""COMPUTED_VALUE"""),3149498.0)</f>
        <v>3149498</v>
      </c>
      <c r="M78" s="3"/>
      <c r="N78" s="3"/>
      <c r="O78" s="3"/>
      <c r="P78" s="3"/>
      <c r="Q78" s="3"/>
      <c r="R78" s="3"/>
    </row>
    <row r="79" ht="15.75" customHeight="1">
      <c r="A79" s="18" t="str">
        <f>IFERROR(__xludf.DUMMYFUNCTION("""COMPUTED_VALUE"""),"学生スタッフ")</f>
        <v>学生スタッフ</v>
      </c>
      <c r="B79" s="8">
        <f>IFERROR(__xludf.DUMMYFUNCTION("""COMPUTED_VALUE"""),2186478.0)</f>
        <v>2186478</v>
      </c>
      <c r="C79" s="13">
        <f>IFERROR(__xludf.DUMMYFUNCTION("""COMPUTED_VALUE"""),1013696.0)</f>
        <v>1013696</v>
      </c>
      <c r="D79" s="13">
        <f>IFERROR(__xludf.DUMMYFUNCTION("""COMPUTED_VALUE"""),414913.0)</f>
        <v>414913</v>
      </c>
      <c r="E79" s="13"/>
      <c r="F79" s="13"/>
      <c r="G79" s="13"/>
      <c r="H79" s="13">
        <f>IFERROR(__xludf.DUMMYFUNCTION("""COMPUTED_VALUE"""),137982.0)</f>
        <v>137982</v>
      </c>
      <c r="I79" s="13">
        <f>IFERROR(__xludf.DUMMYFUNCTION("""COMPUTED_VALUE"""),116850.0)</f>
        <v>116850</v>
      </c>
      <c r="J79" s="13">
        <f>IFERROR(__xludf.DUMMYFUNCTION("""COMPUTED_VALUE"""),435899.0)</f>
        <v>435899</v>
      </c>
      <c r="K79" s="13">
        <f>IFERROR(__xludf.DUMMYFUNCTION("""COMPUTED_VALUE"""),67138.0)</f>
        <v>67138</v>
      </c>
      <c r="L79" s="13"/>
      <c r="M79" s="3"/>
      <c r="N79" s="3"/>
      <c r="O79" s="3"/>
      <c r="P79" s="3"/>
      <c r="Q79" s="3"/>
      <c r="R79" s="3"/>
    </row>
    <row r="80" ht="15.75" customHeight="1">
      <c r="A80" s="18" t="str">
        <f>IFERROR(__xludf.DUMMYFUNCTION("""COMPUTED_VALUE"""),"アルバイトスタッフ")</f>
        <v>アルバイトスタッフ</v>
      </c>
      <c r="B80" s="8">
        <f>IFERROR(__xludf.DUMMYFUNCTION("""COMPUTED_VALUE"""),4729447.0)</f>
        <v>4729447</v>
      </c>
      <c r="C80" s="13">
        <f>IFERROR(__xludf.DUMMYFUNCTION("""COMPUTED_VALUE"""),1594864.0)</f>
        <v>1594864</v>
      </c>
      <c r="D80" s="13">
        <f>IFERROR(__xludf.DUMMYFUNCTION("""COMPUTED_VALUE"""),993748.0)</f>
        <v>993748</v>
      </c>
      <c r="E80" s="13">
        <f>IFERROR(__xludf.DUMMYFUNCTION("""COMPUTED_VALUE"""),612258.0)</f>
        <v>612258</v>
      </c>
      <c r="F80" s="13"/>
      <c r="G80" s="13">
        <f>IFERROR(__xludf.DUMMYFUNCTION("""COMPUTED_VALUE"""),738562.0)</f>
        <v>738562</v>
      </c>
      <c r="H80" s="13">
        <f>IFERROR(__xludf.DUMMYFUNCTION("""COMPUTED_VALUE"""),138300.0)</f>
        <v>138300</v>
      </c>
      <c r="I80" s="13">
        <f>IFERROR(__xludf.DUMMYFUNCTION("""COMPUTED_VALUE"""),373716.0)</f>
        <v>373716</v>
      </c>
      <c r="J80" s="13">
        <f>IFERROR(__xludf.DUMMYFUNCTION("""COMPUTED_VALUE"""),156545.0)</f>
        <v>156545</v>
      </c>
      <c r="K80" s="13">
        <f>IFERROR(__xludf.DUMMYFUNCTION("""COMPUTED_VALUE"""),121454.0)</f>
        <v>121454</v>
      </c>
      <c r="L80" s="13"/>
      <c r="M80" s="3"/>
      <c r="N80" s="3"/>
      <c r="O80" s="3"/>
      <c r="P80" s="3"/>
      <c r="Q80" s="3"/>
      <c r="R80" s="3"/>
    </row>
    <row r="81" ht="15.75" customHeight="1">
      <c r="A81" s="18" t="str">
        <f>IFERROR(__xludf.DUMMYFUNCTION("""COMPUTED_VALUE"""),"外注スタッフ")</f>
        <v>外注スタッフ</v>
      </c>
      <c r="B81" s="8">
        <f>IFERROR(__xludf.DUMMYFUNCTION("""COMPUTED_VALUE"""),1140514.0)</f>
        <v>1140514</v>
      </c>
      <c r="C81" s="13">
        <f>IFERROR(__xludf.DUMMYFUNCTION("""COMPUTED_VALUE"""),651968.0)</f>
        <v>651968</v>
      </c>
      <c r="D81" s="13">
        <f>IFERROR(__xludf.DUMMYFUNCTION("""COMPUTED_VALUE"""),38944.0)</f>
        <v>38944</v>
      </c>
      <c r="E81" s="13">
        <f>IFERROR(__xludf.DUMMYFUNCTION("""COMPUTED_VALUE"""),30550.0)</f>
        <v>30550</v>
      </c>
      <c r="F81" s="13"/>
      <c r="G81" s="13">
        <f>IFERROR(__xludf.DUMMYFUNCTION("""COMPUTED_VALUE"""),24600.0)</f>
        <v>24600</v>
      </c>
      <c r="H81" s="13"/>
      <c r="I81" s="13">
        <f>IFERROR(__xludf.DUMMYFUNCTION("""COMPUTED_VALUE"""),382450.0)</f>
        <v>382450</v>
      </c>
      <c r="J81" s="13"/>
      <c r="K81" s="13">
        <f>IFERROR(__xludf.DUMMYFUNCTION("""COMPUTED_VALUE"""),12002.0)</f>
        <v>12002</v>
      </c>
      <c r="L81" s="13"/>
      <c r="M81" s="3"/>
      <c r="N81" s="3"/>
      <c r="O81" s="3"/>
      <c r="P81" s="3"/>
      <c r="Q81" s="3"/>
      <c r="R81" s="3"/>
    </row>
    <row r="82" ht="15.75" customHeight="1">
      <c r="A82" s="3" t="str">
        <f>IFERROR(__xludf.DUMMYFUNCTION("""COMPUTED_VALUE"""),"決算賞与引当")</f>
        <v>決算賞与引当</v>
      </c>
      <c r="B82" s="8">
        <f>IFERROR(__xludf.DUMMYFUNCTION("""COMPUTED_VALUE"""),0.0)</f>
        <v>0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3"/>
      <c r="N82" s="3"/>
      <c r="O82" s="3"/>
      <c r="P82" s="3"/>
      <c r="Q82" s="3"/>
      <c r="R82" s="3"/>
    </row>
    <row r="83" ht="15.75" customHeight="1">
      <c r="A83" s="3" t="str">
        <f>IFERROR(__xludf.DUMMYFUNCTION("""COMPUTED_VALUE"""),"雑費")</f>
        <v>雑費</v>
      </c>
      <c r="B83" s="8">
        <f>IFERROR(__xludf.DUMMYFUNCTION("""COMPUTED_VALUE"""),5280.0)</f>
        <v>5280</v>
      </c>
      <c r="C83" s="10">
        <f>IFERROR(__xludf.DUMMYFUNCTION("""COMPUTED_VALUE"""),0.0)</f>
        <v>0</v>
      </c>
      <c r="D83" s="9">
        <f>IFERROR(__xludf.DUMMYFUNCTION("""COMPUTED_VALUE"""),0.0)</f>
        <v>0</v>
      </c>
      <c r="E83" s="10">
        <f>IFERROR(__xludf.DUMMYFUNCTION("""COMPUTED_VALUE"""),0.0)</f>
        <v>0</v>
      </c>
      <c r="F83" s="10">
        <f>IFERROR(__xludf.DUMMYFUNCTION("""COMPUTED_VALUE"""),0.0)</f>
        <v>0</v>
      </c>
      <c r="G83" s="10">
        <f>IFERROR(__xludf.DUMMYFUNCTION("""COMPUTED_VALUE"""),0.0)</f>
        <v>0</v>
      </c>
      <c r="H83" s="10">
        <f>IFERROR(__xludf.DUMMYFUNCTION("""COMPUTED_VALUE"""),0.0)</f>
        <v>0</v>
      </c>
      <c r="I83" s="10">
        <f>IFERROR(__xludf.DUMMYFUNCTION("""COMPUTED_VALUE"""),0.0)</f>
        <v>0</v>
      </c>
      <c r="J83" s="10">
        <f>IFERROR(__xludf.DUMMYFUNCTION("""COMPUTED_VALUE"""),0.0)</f>
        <v>0</v>
      </c>
      <c r="K83" s="9">
        <f>IFERROR(__xludf.DUMMYFUNCTION("""COMPUTED_VALUE"""),5280.0)</f>
        <v>5280</v>
      </c>
      <c r="L83" s="10">
        <f>IFERROR(__xludf.DUMMYFUNCTION("""COMPUTED_VALUE"""),0.0)</f>
        <v>0</v>
      </c>
      <c r="M83" s="3"/>
      <c r="N83" s="3"/>
      <c r="O83" s="3"/>
      <c r="P83" s="3"/>
      <c r="Q83" s="3"/>
      <c r="R83" s="3"/>
    </row>
    <row r="84" ht="15.75" customHeight="1">
      <c r="A84" s="3" t="str">
        <f>IFERROR(__xludf.DUMMYFUNCTION("""COMPUTED_VALUE"""),"支払手数料")</f>
        <v>支払手数料</v>
      </c>
      <c r="B84" s="8">
        <f>IFERROR(__xludf.DUMMYFUNCTION("""COMPUTED_VALUE"""),696164.0)</f>
        <v>696164</v>
      </c>
      <c r="C84" s="17">
        <f>IFERROR(__xludf.DUMMYFUNCTION("""COMPUTED_VALUE"""),310837.0)</f>
        <v>310837</v>
      </c>
      <c r="D84" s="17">
        <f>IFERROR(__xludf.DUMMYFUNCTION("""COMPUTED_VALUE"""),32570.0)</f>
        <v>32570</v>
      </c>
      <c r="E84" s="17">
        <f>IFERROR(__xludf.DUMMYFUNCTION("""COMPUTED_VALUE"""),440.0)</f>
        <v>440</v>
      </c>
      <c r="F84" s="17">
        <f>IFERROR(__xludf.DUMMYFUNCTION("""COMPUTED_VALUE"""),0.0)</f>
        <v>0</v>
      </c>
      <c r="G84" s="17">
        <f>IFERROR(__xludf.DUMMYFUNCTION("""COMPUTED_VALUE"""),330.0)</f>
        <v>330</v>
      </c>
      <c r="H84" s="17">
        <f>IFERROR(__xludf.DUMMYFUNCTION("""COMPUTED_VALUE"""),0.0)</f>
        <v>0</v>
      </c>
      <c r="I84" s="17">
        <f>IFERROR(__xludf.DUMMYFUNCTION("""COMPUTED_VALUE"""),2000.0)</f>
        <v>2000</v>
      </c>
      <c r="J84" s="17">
        <f>IFERROR(__xludf.DUMMYFUNCTION("""COMPUTED_VALUE"""),0.0)</f>
        <v>0</v>
      </c>
      <c r="K84" s="17">
        <f>IFERROR(__xludf.DUMMYFUNCTION("""COMPUTED_VALUE"""),349987.0)</f>
        <v>349987</v>
      </c>
      <c r="L84" s="17">
        <f>IFERROR(__xludf.DUMMYFUNCTION("""COMPUTED_VALUE"""),0.0)</f>
        <v>0</v>
      </c>
      <c r="M84" s="3"/>
      <c r="N84" s="3"/>
      <c r="O84" s="3"/>
      <c r="P84" s="3"/>
      <c r="Q84" s="3"/>
      <c r="R84" s="3"/>
    </row>
    <row r="85" ht="15.75" customHeight="1">
      <c r="A85" s="18" t="str">
        <f>IFERROR(__xludf.DUMMYFUNCTION("""COMPUTED_VALUE"""),"銀行振込手数料")</f>
        <v>銀行振込手数料</v>
      </c>
      <c r="B85" s="8">
        <f>IFERROR(__xludf.DUMMYFUNCTION("""COMPUTED_VALUE"""),351327.0)</f>
        <v>351327</v>
      </c>
      <c r="C85" s="10">
        <f>IFERROR(__xludf.DUMMYFUNCTION("""COMPUTED_VALUE"""),0.0)</f>
        <v>0</v>
      </c>
      <c r="D85" s="9">
        <f>IFERROR(__xludf.DUMMYFUNCTION("""COMPUTED_VALUE"""),31570.0)</f>
        <v>31570</v>
      </c>
      <c r="E85" s="10">
        <f>IFERROR(__xludf.DUMMYFUNCTION("""COMPUTED_VALUE"""),440.0)</f>
        <v>440</v>
      </c>
      <c r="F85" s="10">
        <f>IFERROR(__xludf.DUMMYFUNCTION("""COMPUTED_VALUE"""),0.0)</f>
        <v>0</v>
      </c>
      <c r="G85" s="10">
        <f>IFERROR(__xludf.DUMMYFUNCTION("""COMPUTED_VALUE"""),330.0)</f>
        <v>330</v>
      </c>
      <c r="H85" s="10">
        <f>IFERROR(__xludf.DUMMYFUNCTION("""COMPUTED_VALUE"""),0.0)</f>
        <v>0</v>
      </c>
      <c r="I85" s="10">
        <f>IFERROR(__xludf.DUMMYFUNCTION("""COMPUTED_VALUE"""),2000.0)</f>
        <v>2000</v>
      </c>
      <c r="J85" s="10">
        <f>IFERROR(__xludf.DUMMYFUNCTION("""COMPUTED_VALUE"""),0.0)</f>
        <v>0</v>
      </c>
      <c r="K85" s="9">
        <f>IFERROR(__xludf.DUMMYFUNCTION("""COMPUTED_VALUE"""),316987.0)</f>
        <v>316987</v>
      </c>
      <c r="L85" s="10">
        <f>IFERROR(__xludf.DUMMYFUNCTION("""COMPUTED_VALUE"""),0.0)</f>
        <v>0</v>
      </c>
      <c r="M85" s="3"/>
      <c r="N85" s="3"/>
      <c r="O85" s="3"/>
      <c r="P85" s="3"/>
      <c r="Q85" s="3"/>
      <c r="R85" s="3"/>
    </row>
    <row r="86" ht="15.75" customHeight="1">
      <c r="A86" s="18" t="str">
        <f>IFERROR(__xludf.DUMMYFUNCTION("""COMPUTED_VALUE"""),"電話代行料")</f>
        <v>電話代行料</v>
      </c>
      <c r="B86" s="8">
        <f>IFERROR(__xludf.DUMMYFUNCTION("""COMPUTED_VALUE"""),50930.0)</f>
        <v>50930</v>
      </c>
      <c r="C86" s="9">
        <f>IFERROR(__xludf.DUMMYFUNCTION("""COMPUTED_VALUE"""),50930.0)</f>
        <v>50930</v>
      </c>
      <c r="D86" s="9">
        <f>IFERROR(__xludf.DUMMYFUNCTION("""COMPUTED_VALUE"""),0.0)</f>
        <v>0</v>
      </c>
      <c r="E86" s="10">
        <f>IFERROR(__xludf.DUMMYFUNCTION("""COMPUTED_VALUE"""),0.0)</f>
        <v>0</v>
      </c>
      <c r="F86" s="10">
        <f>IFERROR(__xludf.DUMMYFUNCTION("""COMPUTED_VALUE"""),0.0)</f>
        <v>0</v>
      </c>
      <c r="G86" s="10">
        <f>IFERROR(__xludf.DUMMYFUNCTION("""COMPUTED_VALUE"""),0.0)</f>
        <v>0</v>
      </c>
      <c r="H86" s="10">
        <f>IFERROR(__xludf.DUMMYFUNCTION("""COMPUTED_VALUE"""),0.0)</f>
        <v>0</v>
      </c>
      <c r="I86" s="10">
        <f>IFERROR(__xludf.DUMMYFUNCTION("""COMPUTED_VALUE"""),0.0)</f>
        <v>0</v>
      </c>
      <c r="J86" s="10">
        <f>IFERROR(__xludf.DUMMYFUNCTION("""COMPUTED_VALUE"""),0.0)</f>
        <v>0</v>
      </c>
      <c r="K86" s="10">
        <f>IFERROR(__xludf.DUMMYFUNCTION("""COMPUTED_VALUE"""),0.0)</f>
        <v>0</v>
      </c>
      <c r="L86" s="10">
        <f>IFERROR(__xludf.DUMMYFUNCTION("""COMPUTED_VALUE"""),0.0)</f>
        <v>0</v>
      </c>
      <c r="M86" s="3"/>
      <c r="N86" s="3"/>
      <c r="O86" s="3"/>
      <c r="P86" s="3"/>
      <c r="Q86" s="3"/>
      <c r="R86" s="3"/>
    </row>
    <row r="87" ht="15.75" customHeight="1">
      <c r="A87" s="18" t="str">
        <f>IFERROR(__xludf.DUMMYFUNCTION("""COMPUTED_VALUE"""),"大学訪問")</f>
        <v>大学訪問</v>
      </c>
      <c r="B87" s="8">
        <f>IFERROR(__xludf.DUMMYFUNCTION("""COMPUTED_VALUE"""),0.0)</f>
        <v>0</v>
      </c>
      <c r="C87" s="10">
        <f>IFERROR(__xludf.DUMMYFUNCTION("""COMPUTED_VALUE"""),0.0)</f>
        <v>0</v>
      </c>
      <c r="D87" s="10">
        <f>IFERROR(__xludf.DUMMYFUNCTION("""COMPUTED_VALUE"""),0.0)</f>
        <v>0</v>
      </c>
      <c r="E87" s="10">
        <f>IFERROR(__xludf.DUMMYFUNCTION("""COMPUTED_VALUE"""),0.0)</f>
        <v>0</v>
      </c>
      <c r="F87" s="10">
        <f>IFERROR(__xludf.DUMMYFUNCTION("""COMPUTED_VALUE"""),0.0)</f>
        <v>0</v>
      </c>
      <c r="G87" s="10">
        <f>IFERROR(__xludf.DUMMYFUNCTION("""COMPUTED_VALUE"""),0.0)</f>
        <v>0</v>
      </c>
      <c r="H87" s="10">
        <f>IFERROR(__xludf.DUMMYFUNCTION("""COMPUTED_VALUE"""),0.0)</f>
        <v>0</v>
      </c>
      <c r="I87" s="10">
        <f>IFERROR(__xludf.DUMMYFUNCTION("""COMPUTED_VALUE"""),0.0)</f>
        <v>0</v>
      </c>
      <c r="J87" s="10">
        <f>IFERROR(__xludf.DUMMYFUNCTION("""COMPUTED_VALUE"""),0.0)</f>
        <v>0</v>
      </c>
      <c r="K87" s="10">
        <f>IFERROR(__xludf.DUMMYFUNCTION("""COMPUTED_VALUE"""),0.0)</f>
        <v>0</v>
      </c>
      <c r="L87" s="10">
        <f>IFERROR(__xludf.DUMMYFUNCTION("""COMPUTED_VALUE"""),0.0)</f>
        <v>0</v>
      </c>
      <c r="M87" s="3"/>
      <c r="N87" s="3"/>
      <c r="O87" s="3"/>
      <c r="P87" s="3"/>
      <c r="Q87" s="3"/>
      <c r="R87" s="3"/>
    </row>
    <row r="88" ht="15.75" customHeight="1">
      <c r="A88" s="18" t="str">
        <f>IFERROR(__xludf.DUMMYFUNCTION("""COMPUTED_VALUE"""),"その他")</f>
        <v>その他</v>
      </c>
      <c r="B88" s="8">
        <f>IFERROR(__xludf.DUMMYFUNCTION("""COMPUTED_VALUE"""),293907.0)</f>
        <v>293907</v>
      </c>
      <c r="C88" s="9">
        <f>IFERROR(__xludf.DUMMYFUNCTION("""COMPUTED_VALUE"""),259907.0)</f>
        <v>259907</v>
      </c>
      <c r="D88" s="9">
        <f>IFERROR(__xludf.DUMMYFUNCTION("""COMPUTED_VALUE"""),1000.0)</f>
        <v>1000</v>
      </c>
      <c r="E88" s="10">
        <f>IFERROR(__xludf.DUMMYFUNCTION("""COMPUTED_VALUE"""),0.0)</f>
        <v>0</v>
      </c>
      <c r="F88" s="10">
        <f>IFERROR(__xludf.DUMMYFUNCTION("""COMPUTED_VALUE"""),0.0)</f>
        <v>0</v>
      </c>
      <c r="G88" s="10">
        <f>IFERROR(__xludf.DUMMYFUNCTION("""COMPUTED_VALUE"""),0.0)</f>
        <v>0</v>
      </c>
      <c r="H88" s="10">
        <f>IFERROR(__xludf.DUMMYFUNCTION("""COMPUTED_VALUE"""),0.0)</f>
        <v>0</v>
      </c>
      <c r="I88" s="10">
        <f>IFERROR(__xludf.DUMMYFUNCTION("""COMPUTED_VALUE"""),0.0)</f>
        <v>0</v>
      </c>
      <c r="J88" s="10">
        <f>IFERROR(__xludf.DUMMYFUNCTION("""COMPUTED_VALUE"""),0.0)</f>
        <v>0</v>
      </c>
      <c r="K88" s="9">
        <f>IFERROR(__xludf.DUMMYFUNCTION("""COMPUTED_VALUE"""),33000.0)</f>
        <v>33000</v>
      </c>
      <c r="L88" s="10">
        <f>IFERROR(__xludf.DUMMYFUNCTION("""COMPUTED_VALUE"""),0.0)</f>
        <v>0</v>
      </c>
      <c r="M88" s="3"/>
      <c r="N88" s="3"/>
      <c r="O88" s="3"/>
      <c r="P88" s="3"/>
      <c r="Q88" s="3"/>
      <c r="R88" s="3"/>
    </row>
    <row r="89" ht="15.75" customHeight="1">
      <c r="A89" s="3" t="str">
        <f>IFERROR(__xludf.DUMMYFUNCTION("""COMPUTED_VALUE"""),"外注費")</f>
        <v>外注費</v>
      </c>
      <c r="B89" s="8">
        <f>IFERROR(__xludf.DUMMYFUNCTION("""COMPUTED_VALUE"""),7661116.0)</f>
        <v>7661116</v>
      </c>
      <c r="C89" s="17">
        <f>IFERROR(__xludf.DUMMYFUNCTION("""COMPUTED_VALUE"""),1066343.0)</f>
        <v>1066343</v>
      </c>
      <c r="D89" s="17">
        <f>IFERROR(__xludf.DUMMYFUNCTION("""COMPUTED_VALUE"""),1108370.0)</f>
        <v>1108370</v>
      </c>
      <c r="E89" s="17">
        <f>IFERROR(__xludf.DUMMYFUNCTION("""COMPUTED_VALUE"""),1174558.0)</f>
        <v>1174558</v>
      </c>
      <c r="F89" s="17">
        <f>IFERROR(__xludf.DUMMYFUNCTION("""COMPUTED_VALUE"""),43300.0)</f>
        <v>43300</v>
      </c>
      <c r="G89" s="17">
        <f>IFERROR(__xludf.DUMMYFUNCTION("""COMPUTED_VALUE"""),0.0)</f>
        <v>0</v>
      </c>
      <c r="H89" s="17">
        <f>IFERROR(__xludf.DUMMYFUNCTION("""COMPUTED_VALUE"""),0.0)</f>
        <v>0</v>
      </c>
      <c r="I89" s="17">
        <f>IFERROR(__xludf.DUMMYFUNCTION("""COMPUTED_VALUE"""),3470657.0)</f>
        <v>3470657</v>
      </c>
      <c r="J89" s="17">
        <f>IFERROR(__xludf.DUMMYFUNCTION("""COMPUTED_VALUE"""),0.0)</f>
        <v>0</v>
      </c>
      <c r="K89" s="17">
        <f>IFERROR(__xludf.DUMMYFUNCTION("""COMPUTED_VALUE"""),797888.0)</f>
        <v>797888</v>
      </c>
      <c r="L89" s="17">
        <f>IFERROR(__xludf.DUMMYFUNCTION("""COMPUTED_VALUE"""),0.0)</f>
        <v>0</v>
      </c>
      <c r="M89" s="3"/>
      <c r="N89" s="5" t="str">
        <f>IFERROR(__xludf.DUMMYFUNCTION("""COMPUTED_VALUE"""),"訂正記録")</f>
        <v>訂正記録</v>
      </c>
      <c r="O89" s="3"/>
      <c r="P89" s="3"/>
      <c r="Q89" s="3"/>
      <c r="R89" s="3"/>
    </row>
    <row r="90" ht="15.75" customHeight="1">
      <c r="A90" s="18" t="str">
        <f>IFERROR(__xludf.DUMMYFUNCTION("""COMPUTED_VALUE"""),"代理店手数料")</f>
        <v>代理店手数料</v>
      </c>
      <c r="B90" s="8">
        <f>IFERROR(__xludf.DUMMYFUNCTION("""COMPUTED_VALUE"""),271700.0)</f>
        <v>271700</v>
      </c>
      <c r="C90" s="10">
        <f>IFERROR(__xludf.DUMMYFUNCTION("""COMPUTED_VALUE"""),0.0)</f>
        <v>0</v>
      </c>
      <c r="D90" s="9">
        <f>IFERROR(__xludf.DUMMYFUNCTION("""COMPUTED_VALUE"""),271700.0)</f>
        <v>271700</v>
      </c>
      <c r="E90" s="10">
        <f>IFERROR(__xludf.DUMMYFUNCTION("""COMPUTED_VALUE"""),0.0)</f>
        <v>0</v>
      </c>
      <c r="F90" s="10">
        <f>IFERROR(__xludf.DUMMYFUNCTION("""COMPUTED_VALUE"""),0.0)</f>
        <v>0</v>
      </c>
      <c r="G90" s="10">
        <f>IFERROR(__xludf.DUMMYFUNCTION("""COMPUTED_VALUE"""),0.0)</f>
        <v>0</v>
      </c>
      <c r="H90" s="10">
        <f>IFERROR(__xludf.DUMMYFUNCTION("""COMPUTED_VALUE"""),0.0)</f>
        <v>0</v>
      </c>
      <c r="I90" s="10">
        <f>IFERROR(__xludf.DUMMYFUNCTION("""COMPUTED_VALUE"""),0.0)</f>
        <v>0</v>
      </c>
      <c r="J90" s="10">
        <f>IFERROR(__xludf.DUMMYFUNCTION("""COMPUTED_VALUE"""),0.0)</f>
        <v>0</v>
      </c>
      <c r="K90" s="10">
        <f>IFERROR(__xludf.DUMMYFUNCTION("""COMPUTED_VALUE"""),0.0)</f>
        <v>0</v>
      </c>
      <c r="L90" s="10">
        <f>IFERROR(__xludf.DUMMYFUNCTION("""COMPUTED_VALUE"""),0.0)</f>
        <v>0</v>
      </c>
      <c r="M90" s="3"/>
      <c r="N90" s="5" t="str">
        <f>IFERROR(__xludf.DUMMYFUNCTION("""COMPUTED_VALUE"""),"部門")</f>
        <v>部門</v>
      </c>
      <c r="O90" s="5" t="str">
        <f>IFERROR(__xludf.DUMMYFUNCTION("""COMPUTED_VALUE"""),"科目")</f>
        <v>科目</v>
      </c>
      <c r="P90" s="5" t="str">
        <f>IFERROR(__xludf.DUMMYFUNCTION("""COMPUTED_VALUE"""),"金額")</f>
        <v>金額</v>
      </c>
      <c r="Q90" s="5" t="str">
        <f>IFERROR(__xludf.DUMMYFUNCTION("""COMPUTED_VALUE"""),"内容")</f>
        <v>内容</v>
      </c>
      <c r="R90" s="3"/>
    </row>
    <row r="91" ht="15.75" customHeight="1">
      <c r="A91" s="18" t="str">
        <f>IFERROR(__xludf.DUMMYFUNCTION("""COMPUTED_VALUE"""),"その他")</f>
        <v>その他</v>
      </c>
      <c r="B91" s="8">
        <f>IFERROR(__xludf.DUMMYFUNCTION("""COMPUTED_VALUE"""),7389416.0)</f>
        <v>7389416</v>
      </c>
      <c r="C91" s="9">
        <f>IFERROR(__xludf.DUMMYFUNCTION("""COMPUTED_VALUE"""),1066343.0)</f>
        <v>1066343</v>
      </c>
      <c r="D91" s="9">
        <f>IFERROR(__xludf.DUMMYFUNCTION("""COMPUTED_VALUE"""),836670.0)</f>
        <v>836670</v>
      </c>
      <c r="E91" s="10">
        <f>IFERROR(__xludf.DUMMYFUNCTION("""COMPUTED_VALUE"""),1174558.0)</f>
        <v>1174558</v>
      </c>
      <c r="F91" s="9">
        <f>IFERROR(__xludf.DUMMYFUNCTION("""COMPUTED_VALUE"""),43300.0)</f>
        <v>43300</v>
      </c>
      <c r="G91" s="10">
        <f>IFERROR(__xludf.DUMMYFUNCTION("""COMPUTED_VALUE"""),0.0)</f>
        <v>0</v>
      </c>
      <c r="H91" s="10">
        <f>IFERROR(__xludf.DUMMYFUNCTION("""COMPUTED_VALUE"""),0.0)</f>
        <v>0</v>
      </c>
      <c r="I91" s="9">
        <f>IFERROR(__xludf.DUMMYFUNCTION("""COMPUTED_VALUE"""),3470657.0)</f>
        <v>3470657</v>
      </c>
      <c r="J91" s="10">
        <f>IFERROR(__xludf.DUMMYFUNCTION("""COMPUTED_VALUE"""),0.0)</f>
        <v>0</v>
      </c>
      <c r="K91" s="9">
        <f>IFERROR(__xludf.DUMMYFUNCTION("""COMPUTED_VALUE"""),797888.0)</f>
        <v>797888</v>
      </c>
      <c r="L91" s="10">
        <f>IFERROR(__xludf.DUMMYFUNCTION("""COMPUTED_VALUE"""),0.0)</f>
        <v>0</v>
      </c>
      <c r="M91" s="3"/>
      <c r="N91" s="5" t="str">
        <f>IFERROR(__xludf.DUMMYFUNCTION("""COMPUTED_VALUE"""),"経営投資")</f>
        <v>経営投資</v>
      </c>
      <c r="O91" s="5" t="str">
        <f>IFERROR(__xludf.DUMMYFUNCTION("""COMPUTED_VALUE"""),"外注費")</f>
        <v>外注費</v>
      </c>
      <c r="P91" s="19">
        <f>IFERROR(__xludf.DUMMYFUNCTION("""COMPUTED_VALUE"""),274725.0)</f>
        <v>274725</v>
      </c>
      <c r="Q91" s="5" t="str">
        <f>IFERROR(__xludf.DUMMYFUNCTION("""COMPUTED_VALUE"""),"Ka Mille")</f>
        <v>Ka Mille</v>
      </c>
      <c r="R91" s="3"/>
    </row>
    <row r="92" ht="15.75" customHeight="1">
      <c r="A92" s="3" t="str">
        <f>IFERROR(__xludf.DUMMYFUNCTION("""COMPUTED_VALUE"""),"制作費")</f>
        <v>制作費</v>
      </c>
      <c r="B92" s="8">
        <f>IFERROR(__xludf.DUMMYFUNCTION("""COMPUTED_VALUE"""),1579170.0)</f>
        <v>1579170</v>
      </c>
      <c r="C92" s="9">
        <f>IFERROR(__xludf.DUMMYFUNCTION("""COMPUTED_VALUE"""),99000.0)</f>
        <v>99000</v>
      </c>
      <c r="D92" s="9">
        <f>IFERROR(__xludf.DUMMYFUNCTION("""COMPUTED_VALUE"""),0.0)</f>
        <v>0</v>
      </c>
      <c r="E92" s="10">
        <f>IFERROR(__xludf.DUMMYFUNCTION("""COMPUTED_VALUE"""),0.0)</f>
        <v>0</v>
      </c>
      <c r="F92" s="10">
        <f>IFERROR(__xludf.DUMMYFUNCTION("""COMPUTED_VALUE"""),0.0)</f>
        <v>0</v>
      </c>
      <c r="G92" s="9">
        <f>IFERROR(__xludf.DUMMYFUNCTION("""COMPUTED_VALUE"""),0.0)</f>
        <v>0</v>
      </c>
      <c r="H92" s="9">
        <f>IFERROR(__xludf.DUMMYFUNCTION("""COMPUTED_VALUE"""),1480170.0)</f>
        <v>1480170</v>
      </c>
      <c r="I92" s="10">
        <f>IFERROR(__xludf.DUMMYFUNCTION("""COMPUTED_VALUE"""),0.0)</f>
        <v>0</v>
      </c>
      <c r="J92" s="10">
        <f>IFERROR(__xludf.DUMMYFUNCTION("""COMPUTED_VALUE"""),0.0)</f>
        <v>0</v>
      </c>
      <c r="K92" s="10">
        <f>IFERROR(__xludf.DUMMYFUNCTION("""COMPUTED_VALUE"""),0.0)</f>
        <v>0</v>
      </c>
      <c r="L92" s="10">
        <f>IFERROR(__xludf.DUMMYFUNCTION("""COMPUTED_VALUE"""),0.0)</f>
        <v>0</v>
      </c>
      <c r="M92" s="3"/>
      <c r="N92" s="3"/>
      <c r="O92" s="3"/>
      <c r="P92" s="3"/>
      <c r="Q92" s="3"/>
      <c r="R92" s="3"/>
    </row>
    <row r="93" ht="15.75" customHeight="1">
      <c r="A93" s="3" t="str">
        <f>IFERROR(__xludf.DUMMYFUNCTION("""COMPUTED_VALUE"""),"販売促進費")</f>
        <v>販売促進費</v>
      </c>
      <c r="B93" s="8">
        <f>IFERROR(__xludf.DUMMYFUNCTION("""COMPUTED_VALUE"""),2159500.0)</f>
        <v>2159500</v>
      </c>
      <c r="C93" s="9">
        <f>IFERROR(__xludf.DUMMYFUNCTION("""COMPUTED_VALUE"""),54000.0)</f>
        <v>54000</v>
      </c>
      <c r="D93" s="9">
        <f>IFERROR(__xludf.DUMMYFUNCTION("""COMPUTED_VALUE"""),1402000.0)</f>
        <v>1402000</v>
      </c>
      <c r="E93" s="9">
        <f>IFERROR(__xludf.DUMMYFUNCTION("""COMPUTED_VALUE"""),0.0)</f>
        <v>0</v>
      </c>
      <c r="F93" s="10">
        <f>IFERROR(__xludf.DUMMYFUNCTION("""COMPUTED_VALUE"""),522500.0)</f>
        <v>522500</v>
      </c>
      <c r="G93" s="10">
        <f>IFERROR(__xludf.DUMMYFUNCTION("""COMPUTED_VALUE"""),110000.0)</f>
        <v>110000</v>
      </c>
      <c r="H93" s="10">
        <f>IFERROR(__xludf.DUMMYFUNCTION("""COMPUTED_VALUE"""),0.0)</f>
        <v>0</v>
      </c>
      <c r="I93" s="9">
        <f>IFERROR(__xludf.DUMMYFUNCTION("""COMPUTED_VALUE"""),0.0)</f>
        <v>0</v>
      </c>
      <c r="J93" s="9">
        <f>IFERROR(__xludf.DUMMYFUNCTION("""COMPUTED_VALUE"""),71000.0)</f>
        <v>71000</v>
      </c>
      <c r="K93" s="10">
        <f>IFERROR(__xludf.DUMMYFUNCTION("""COMPUTED_VALUE"""),0.0)</f>
        <v>0</v>
      </c>
      <c r="L93" s="10">
        <f>IFERROR(__xludf.DUMMYFUNCTION("""COMPUTED_VALUE"""),0.0)</f>
        <v>0</v>
      </c>
      <c r="M93" s="3"/>
      <c r="N93" s="3"/>
      <c r="O93" s="3"/>
      <c r="P93" s="3"/>
      <c r="Q93" s="3"/>
      <c r="R93" s="3"/>
    </row>
    <row r="94" ht="15.75" customHeight="1">
      <c r="A94" s="3" t="str">
        <f>IFERROR(__xludf.DUMMYFUNCTION("""COMPUTED_VALUE"""),"減価償却費")</f>
        <v>減価償却費</v>
      </c>
      <c r="B94" s="8">
        <f>IFERROR(__xludf.DUMMYFUNCTION("""COMPUTED_VALUE"""),0.0)</f>
        <v>0</v>
      </c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3"/>
      <c r="N94" s="3"/>
      <c r="O94" s="3"/>
      <c r="P94" s="3"/>
      <c r="Q94" s="3"/>
      <c r="R94" s="3"/>
    </row>
    <row r="95" ht="15.75" customHeight="1">
      <c r="A95" s="3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3"/>
      <c r="N95" s="3"/>
      <c r="O95" s="3"/>
      <c r="P95" s="3"/>
      <c r="Q95" s="3"/>
      <c r="R95" s="3"/>
    </row>
    <row r="96" ht="15.75" customHeight="1">
      <c r="A96" s="6" t="str">
        <f>IFERROR(__xludf.DUMMYFUNCTION("""COMPUTED_VALUE"""),"広告宣伝費/売上利益")</f>
        <v>広告宣伝費/売上利益</v>
      </c>
      <c r="B96" s="21">
        <f>IFERROR(__xludf.DUMMYFUNCTION("""COMPUTED_VALUE"""),0.13380617931473404)</f>
        <v>0.1338061793</v>
      </c>
      <c r="C96" s="21">
        <f>IFERROR(__xludf.DUMMYFUNCTION("""COMPUTED_VALUE"""),0.13749007070883545)</f>
        <v>0.1374900707</v>
      </c>
      <c r="D96" s="21">
        <f>IFERROR(__xludf.DUMMYFUNCTION("""COMPUTED_VALUE"""),0.17064767038639791)</f>
        <v>0.1706476704</v>
      </c>
      <c r="E96" s="21">
        <f>IFERROR(__xludf.DUMMYFUNCTION("""COMPUTED_VALUE"""),2.727102676183956E-4)</f>
        <v>0.0002727102676</v>
      </c>
      <c r="F96" s="21">
        <f>IFERROR(__xludf.DUMMYFUNCTION("""COMPUTED_VALUE"""),0.0)</f>
        <v>0</v>
      </c>
      <c r="G96" s="21">
        <f>IFERROR(__xludf.DUMMYFUNCTION("""COMPUTED_VALUE"""),1.4426330484538296E-4)</f>
        <v>0.0001442633048</v>
      </c>
      <c r="H96" s="21">
        <f>IFERROR(__xludf.DUMMYFUNCTION("""COMPUTED_VALUE"""),0.0)</f>
        <v>0</v>
      </c>
      <c r="I96" s="21">
        <f>IFERROR(__xludf.DUMMYFUNCTION("""COMPUTED_VALUE"""),0.3374938643314802)</f>
        <v>0.3374938643</v>
      </c>
      <c r="J96" s="22" t="str">
        <f>IFERROR(__xludf.DUMMYFUNCTION("""COMPUTED_VALUE"""),"")</f>
        <v/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3"/>
      <c r="N96" s="3"/>
      <c r="O96" s="3"/>
      <c r="P96" s="3"/>
      <c r="Q96" s="3"/>
      <c r="R96" s="3"/>
    </row>
    <row r="97" ht="15.75" customHeight="1">
      <c r="A97" s="6" t="str">
        <f>IFERROR(__xludf.DUMMYFUNCTION("""COMPUTED_VALUE"""),"人件費/売上利益")</f>
        <v>人件費/売上利益</v>
      </c>
      <c r="B97" s="21">
        <f>IFERROR(__xludf.DUMMYFUNCTION("""COMPUTED_VALUE"""),0.40659472379494654)</f>
        <v>0.4065947238</v>
      </c>
      <c r="C97" s="21">
        <f>IFERROR(__xludf.DUMMYFUNCTION("""COMPUTED_VALUE"""),0.3065380857404475)</f>
        <v>0.3065380857</v>
      </c>
      <c r="D97" s="21">
        <f>IFERROR(__xludf.DUMMYFUNCTION("""COMPUTED_VALUE"""),0.18074117162437744)</f>
        <v>0.1807411716</v>
      </c>
      <c r="E97" s="21">
        <f>IFERROR(__xludf.DUMMYFUNCTION("""COMPUTED_VALUE"""),0.46100243173056943)</f>
        <v>0.4610024317</v>
      </c>
      <c r="F97" s="21">
        <f>IFERROR(__xludf.DUMMYFUNCTION("""COMPUTED_VALUE"""),0.21748460177553555)</f>
        <v>0.2174846018</v>
      </c>
      <c r="G97" s="21">
        <f>IFERROR(__xludf.DUMMYFUNCTION("""COMPUTED_VALUE"""),0.154147610537705)</f>
        <v>0.1541476105</v>
      </c>
      <c r="H97" s="21">
        <f>IFERROR(__xludf.DUMMYFUNCTION("""COMPUTED_VALUE"""),1.9565604893998523)</f>
        <v>1.956560489</v>
      </c>
      <c r="I97" s="21">
        <f>IFERROR(__xludf.DUMMYFUNCTION("""COMPUTED_VALUE"""),2.061787959752321)</f>
        <v>2.06178796</v>
      </c>
      <c r="J97" s="22" t="str">
        <f>IFERROR(__xludf.DUMMYFUNCTION("""COMPUTED_VALUE"""),"")</f>
        <v/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3"/>
      <c r="N97" s="3"/>
      <c r="O97" s="3"/>
      <c r="P97" s="3"/>
      <c r="Q97" s="3"/>
      <c r="R97" s="3"/>
    </row>
    <row r="98" ht="15.75" customHeight="1">
      <c r="A98" s="3" t="str">
        <f>IFERROR(__xludf.DUMMYFUNCTION("""COMPUTED_VALUE"""),"概算消費税")</f>
        <v>概算消費税</v>
      </c>
      <c r="B98" s="17">
        <f>IFERROR(__xludf.DUMMYFUNCTION("""COMPUTED_VALUE"""),5694758.090909091)</f>
        <v>5694758.091</v>
      </c>
      <c r="C98" s="17">
        <f>IFERROR(__xludf.DUMMYFUNCTION("""COMPUTED_VALUE"""),2312503.8181818184)</f>
        <v>2312503.818</v>
      </c>
      <c r="D98" s="17">
        <f>IFERROR(__xludf.DUMMYFUNCTION("""COMPUTED_VALUE"""),2442517.4545454546)</f>
        <v>2442517.455</v>
      </c>
      <c r="E98" s="17">
        <f>IFERROR(__xludf.DUMMYFUNCTION("""COMPUTED_VALUE"""),1177572.0)</f>
        <v>1177572</v>
      </c>
      <c r="F98" s="17">
        <f>IFERROR(__xludf.DUMMYFUNCTION("""COMPUTED_VALUE"""),417025.9090909091)</f>
        <v>417025.9091</v>
      </c>
      <c r="G98" s="17">
        <f>IFERROR(__xludf.DUMMYFUNCTION("""COMPUTED_VALUE"""),1095376.6363636365)</f>
        <v>1095376.636</v>
      </c>
      <c r="H98" s="17">
        <f>IFERROR(__xludf.DUMMYFUNCTION("""COMPUTED_VALUE"""),5135.818181818182)</f>
        <v>5135.818182</v>
      </c>
      <c r="I98" s="17">
        <f>IFERROR(__xludf.DUMMYFUNCTION("""COMPUTED_VALUE"""),-374978.36363636365)</f>
        <v>-374978.3636</v>
      </c>
      <c r="J98" s="23">
        <f>IFERROR(__xludf.DUMMYFUNCTION("""COMPUTED_VALUE"""),-132618.9090909091)</f>
        <v>-132618.9091</v>
      </c>
      <c r="K98" s="23">
        <f>IFERROR(__xludf.DUMMYFUNCTION("""COMPUTED_VALUE"""),-733454.6363636364)</f>
        <v>-733454.6364</v>
      </c>
      <c r="L98" s="23">
        <f>IFERROR(__xludf.DUMMYFUNCTION("""COMPUTED_VALUE"""),-514321.63636363635)</f>
        <v>-514321.6364</v>
      </c>
      <c r="M98" s="3"/>
      <c r="N98" s="3"/>
      <c r="O98" s="3"/>
      <c r="P98" s="3"/>
      <c r="Q98" s="3"/>
      <c r="R98" s="3"/>
    </row>
    <row r="99" ht="15.75" customHeight="1">
      <c r="A99" s="3"/>
      <c r="B99" s="24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3"/>
      <c r="N99" s="3"/>
      <c r="O99" s="3"/>
      <c r="P99" s="3"/>
      <c r="Q99" s="3"/>
      <c r="R99" s="3"/>
    </row>
    <row r="100" ht="15.75" customHeight="1">
      <c r="A100" s="6" t="str">
        <f>IFERROR(__xludf.DUMMYFUNCTION("""COMPUTED_VALUE"""),"営業利益")</f>
        <v>営業利益</v>
      </c>
      <c r="B100" s="7">
        <f>IFERROR(__xludf.DUMMYFUNCTION("""COMPUTED_VALUE"""),7551459.909090921)</f>
        <v>7551459.909</v>
      </c>
      <c r="C100" s="7">
        <f>IFERROR(__xludf.DUMMYFUNCTION("""COMPUTED_VALUE"""),1.334166918181818E7)</f>
        <v>13341669.18</v>
      </c>
      <c r="D100" s="7">
        <f>IFERROR(__xludf.DUMMYFUNCTION("""COMPUTED_VALUE"""),1.7222782545454547E7)</f>
        <v>17222782.55</v>
      </c>
      <c r="E100" s="7">
        <f>IFERROR(__xludf.DUMMYFUNCTION("""COMPUTED_VALUE"""),4574413.0)</f>
        <v>4574413</v>
      </c>
      <c r="F100" s="25">
        <f>IFERROR(__xludf.DUMMYFUNCTION("""COMPUTED_VALUE"""),3047789.090909091)</f>
        <v>3047789.091</v>
      </c>
      <c r="G100" s="7">
        <f>IFERROR(__xludf.DUMMYFUNCTION("""COMPUTED_VALUE"""),9051808.363636363)</f>
        <v>9051808.364</v>
      </c>
      <c r="H100" s="7">
        <f>IFERROR(__xludf.DUMMYFUNCTION("""COMPUTED_VALUE"""),-4029674.8181818184)</f>
        <v>-4029674.818</v>
      </c>
      <c r="I100" s="25">
        <f>IFERROR(__xludf.DUMMYFUNCTION("""COMPUTED_VALUE"""),-9113712.636363637)</f>
        <v>-9113712.636</v>
      </c>
      <c r="J100" s="25">
        <f>IFERROR(__xludf.DUMMYFUNCTION("""COMPUTED_VALUE"""),-3142614.090909091)</f>
        <v>-3142614.091</v>
      </c>
      <c r="K100" s="25">
        <f>IFERROR(__xludf.DUMMYFUNCTION("""COMPUTED_VALUE"""),-1.0263952363636363E7)</f>
        <v>-10263952.36</v>
      </c>
      <c r="L100" s="25">
        <f>IFERROR(__xludf.DUMMYFUNCTION("""COMPUTED_VALUE"""),-1.3137048363636363E7)</f>
        <v>-13137048.36</v>
      </c>
      <c r="M100" s="3"/>
      <c r="N100" s="3"/>
      <c r="O100" s="3"/>
      <c r="P100" s="3"/>
      <c r="Q100" s="3"/>
      <c r="R100" s="3"/>
    </row>
    <row r="101" ht="15.75" customHeight="1">
      <c r="A101" s="3" t="str">
        <f>IFERROR(__xludf.DUMMYFUNCTION("""COMPUTED_VALUE"""),"営業外利益")</f>
        <v>営業外利益</v>
      </c>
      <c r="B101" s="17">
        <f>IFERROR(__xludf.DUMMYFUNCTION("""COMPUTED_VALUE"""),0.0)</f>
        <v>0</v>
      </c>
      <c r="C101" s="17">
        <f>IFERROR(__xludf.DUMMYFUNCTION("""COMPUTED_VALUE"""),0.0)</f>
        <v>0</v>
      </c>
      <c r="D101" s="17">
        <f>IFERROR(__xludf.DUMMYFUNCTION("""COMPUTED_VALUE"""),0.0)</f>
        <v>0</v>
      </c>
      <c r="E101" s="17">
        <f>IFERROR(__xludf.DUMMYFUNCTION("""COMPUTED_VALUE"""),0.0)</f>
        <v>0</v>
      </c>
      <c r="F101" s="17">
        <f>IFERROR(__xludf.DUMMYFUNCTION("""COMPUTED_VALUE"""),0.0)</f>
        <v>0</v>
      </c>
      <c r="G101" s="17">
        <f>IFERROR(__xludf.DUMMYFUNCTION("""COMPUTED_VALUE"""),0.0)</f>
        <v>0</v>
      </c>
      <c r="H101" s="17">
        <f>IFERROR(__xludf.DUMMYFUNCTION("""COMPUTED_VALUE"""),0.0)</f>
        <v>0</v>
      </c>
      <c r="I101" s="17">
        <f>IFERROR(__xludf.DUMMYFUNCTION("""COMPUTED_VALUE"""),0.0)</f>
        <v>0</v>
      </c>
      <c r="J101" s="17">
        <f>IFERROR(__xludf.DUMMYFUNCTION("""COMPUTED_VALUE"""),0.0)</f>
        <v>0</v>
      </c>
      <c r="K101" s="17">
        <f>IFERROR(__xludf.DUMMYFUNCTION("""COMPUTED_VALUE"""),0.0)</f>
        <v>0</v>
      </c>
      <c r="L101" s="17">
        <f>IFERROR(__xludf.DUMMYFUNCTION("""COMPUTED_VALUE"""),0.0)</f>
        <v>0</v>
      </c>
      <c r="M101" s="3"/>
      <c r="N101" s="3"/>
      <c r="O101" s="3"/>
      <c r="P101" s="3"/>
      <c r="Q101" s="3"/>
      <c r="R101" s="3"/>
    </row>
    <row r="102" ht="15.75" customHeight="1">
      <c r="A102" s="26" t="str">
        <f>IFERROR(__xludf.DUMMYFUNCTION("""COMPUTED_VALUE"""),"受取利息")</f>
        <v>受取利息</v>
      </c>
      <c r="B102" s="8">
        <f>IFERROR(__xludf.DUMMYFUNCTION("""COMPUTED_VALUE"""),0.0)</f>
        <v>0</v>
      </c>
      <c r="C102" s="11">
        <f>IFERROR(__xludf.DUMMYFUNCTION("""COMPUTED_VALUE"""),0.0)</f>
        <v>0</v>
      </c>
      <c r="D102" s="11"/>
      <c r="E102" s="11"/>
      <c r="F102" s="11"/>
      <c r="G102" s="11"/>
      <c r="H102" s="11"/>
      <c r="I102" s="11"/>
      <c r="J102" s="11"/>
      <c r="K102" s="11"/>
      <c r="L102" s="11"/>
      <c r="M102" s="3"/>
      <c r="N102" s="3"/>
      <c r="O102" s="3"/>
      <c r="P102" s="3"/>
      <c r="Q102" s="3"/>
      <c r="R102" s="3"/>
    </row>
    <row r="103" ht="15.75" customHeight="1">
      <c r="A103" s="26" t="str">
        <f>IFERROR(__xludf.DUMMYFUNCTION("""COMPUTED_VALUE"""),"受取配当金")</f>
        <v>受取配当金</v>
      </c>
      <c r="B103" s="8">
        <f>IFERROR(__xludf.DUMMYFUNCTION("""COMPUTED_VALUE"""),0.0)</f>
        <v>0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3"/>
      <c r="N103" s="3"/>
      <c r="O103" s="3"/>
      <c r="P103" s="3"/>
      <c r="Q103" s="3"/>
      <c r="R103" s="3"/>
    </row>
    <row r="104" ht="15.75" customHeight="1">
      <c r="A104" s="26" t="str">
        <f>IFERROR(__xludf.DUMMYFUNCTION("""COMPUTED_VALUE"""),"雑収入")</f>
        <v>雑収入</v>
      </c>
      <c r="B104" s="8">
        <f>IFERROR(__xludf.DUMMYFUNCTION("""COMPUTED_VALUE"""),0.0)</f>
        <v>0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3"/>
      <c r="N104" s="3"/>
      <c r="O104" s="3"/>
      <c r="P104" s="3"/>
      <c r="Q104" s="3"/>
      <c r="R104" s="3"/>
    </row>
    <row r="105" ht="15.75" customHeight="1">
      <c r="A105" s="3" t="str">
        <f>IFERROR(__xludf.DUMMYFUNCTION("""COMPUTED_VALUE"""),"営業外費用")</f>
        <v>営業外費用</v>
      </c>
      <c r="B105" s="17">
        <f>IFERROR(__xludf.DUMMYFUNCTION("""COMPUTED_VALUE"""),18392.0)</f>
        <v>18392</v>
      </c>
      <c r="C105" s="17">
        <f>IFERROR(__xludf.DUMMYFUNCTION("""COMPUTED_VALUE"""),0.0)</f>
        <v>0</v>
      </c>
      <c r="D105" s="17">
        <f>IFERROR(__xludf.DUMMYFUNCTION("""COMPUTED_VALUE"""),0.0)</f>
        <v>0</v>
      </c>
      <c r="E105" s="17">
        <f>IFERROR(__xludf.DUMMYFUNCTION("""COMPUTED_VALUE"""),0.0)</f>
        <v>0</v>
      </c>
      <c r="F105" s="17">
        <f>IFERROR(__xludf.DUMMYFUNCTION("""COMPUTED_VALUE"""),0.0)</f>
        <v>0</v>
      </c>
      <c r="G105" s="17">
        <f>IFERROR(__xludf.DUMMYFUNCTION("""COMPUTED_VALUE"""),0.0)</f>
        <v>0</v>
      </c>
      <c r="H105" s="17">
        <f>IFERROR(__xludf.DUMMYFUNCTION("""COMPUTED_VALUE"""),0.0)</f>
        <v>0</v>
      </c>
      <c r="I105" s="17">
        <f>IFERROR(__xludf.DUMMYFUNCTION("""COMPUTED_VALUE"""),0.0)</f>
        <v>0</v>
      </c>
      <c r="J105" s="17">
        <f>IFERROR(__xludf.DUMMYFUNCTION("""COMPUTED_VALUE"""),0.0)</f>
        <v>0</v>
      </c>
      <c r="K105" s="17">
        <f>IFERROR(__xludf.DUMMYFUNCTION("""COMPUTED_VALUE"""),18392.0)</f>
        <v>18392</v>
      </c>
      <c r="L105" s="17">
        <f>IFERROR(__xludf.DUMMYFUNCTION("""COMPUTED_VALUE"""),0.0)</f>
        <v>0</v>
      </c>
      <c r="M105" s="3"/>
      <c r="N105" s="3"/>
      <c r="O105" s="3"/>
      <c r="P105" s="3"/>
      <c r="Q105" s="3"/>
      <c r="R105" s="3"/>
    </row>
    <row r="106" ht="15.75" customHeight="1">
      <c r="A106" s="26" t="str">
        <f>IFERROR(__xludf.DUMMYFUNCTION("""COMPUTED_VALUE"""),"支払利息")</f>
        <v>支払利息</v>
      </c>
      <c r="B106" s="8">
        <f>IFERROR(__xludf.DUMMYFUNCTION("""COMPUTED_VALUE"""),18392.0)</f>
        <v>18392</v>
      </c>
      <c r="C106" s="11">
        <f>IFERROR(__xludf.DUMMYFUNCTION("""COMPUTED_VALUE"""),0.0)</f>
        <v>0</v>
      </c>
      <c r="D106" s="11">
        <f>IFERROR(__xludf.DUMMYFUNCTION("""COMPUTED_VALUE"""),0.0)</f>
        <v>0</v>
      </c>
      <c r="E106" s="11">
        <f>IFERROR(__xludf.DUMMYFUNCTION("""COMPUTED_VALUE"""),0.0)</f>
        <v>0</v>
      </c>
      <c r="F106" s="11">
        <f>IFERROR(__xludf.DUMMYFUNCTION("""COMPUTED_VALUE"""),0.0)</f>
        <v>0</v>
      </c>
      <c r="G106" s="11">
        <f>IFERROR(__xludf.DUMMYFUNCTION("""COMPUTED_VALUE"""),0.0)</f>
        <v>0</v>
      </c>
      <c r="H106" s="11">
        <f>IFERROR(__xludf.DUMMYFUNCTION("""COMPUTED_VALUE"""),0.0)</f>
        <v>0</v>
      </c>
      <c r="I106" s="11">
        <f>IFERROR(__xludf.DUMMYFUNCTION("""COMPUTED_VALUE"""),0.0)</f>
        <v>0</v>
      </c>
      <c r="J106" s="11">
        <f>IFERROR(__xludf.DUMMYFUNCTION("""COMPUTED_VALUE"""),0.0)</f>
        <v>0</v>
      </c>
      <c r="K106" s="11">
        <f>IFERROR(__xludf.DUMMYFUNCTION("""COMPUTED_VALUE"""),18392.0)</f>
        <v>18392</v>
      </c>
      <c r="L106" s="11">
        <f>IFERROR(__xludf.DUMMYFUNCTION("""COMPUTED_VALUE"""),0.0)</f>
        <v>0</v>
      </c>
      <c r="M106" s="3"/>
      <c r="N106" s="3"/>
      <c r="O106" s="3"/>
      <c r="P106" s="3"/>
      <c r="Q106" s="3"/>
      <c r="R106" s="3"/>
    </row>
    <row r="107" ht="15.75" customHeight="1">
      <c r="A107" s="26" t="str">
        <f>IFERROR(__xludf.DUMMYFUNCTION("""COMPUTED_VALUE"""),"雑損失")</f>
        <v>雑損失</v>
      </c>
      <c r="B107" s="8">
        <f>IFERROR(__xludf.DUMMYFUNCTION("""COMPUTED_VALUE"""),0.0)</f>
        <v>0</v>
      </c>
      <c r="C107" s="11">
        <f>IFERROR(__xludf.DUMMYFUNCTION("""COMPUTED_VALUE"""),0.0)</f>
        <v>0</v>
      </c>
      <c r="D107" s="11">
        <f>IFERROR(__xludf.DUMMYFUNCTION("""COMPUTED_VALUE"""),0.0)</f>
        <v>0</v>
      </c>
      <c r="E107" s="11">
        <f>IFERROR(__xludf.DUMMYFUNCTION("""COMPUTED_VALUE"""),0.0)</f>
        <v>0</v>
      </c>
      <c r="F107" s="11">
        <f>IFERROR(__xludf.DUMMYFUNCTION("""COMPUTED_VALUE"""),0.0)</f>
        <v>0</v>
      </c>
      <c r="G107" s="11">
        <f>IFERROR(__xludf.DUMMYFUNCTION("""COMPUTED_VALUE"""),0.0)</f>
        <v>0</v>
      </c>
      <c r="H107" s="11">
        <f>IFERROR(__xludf.DUMMYFUNCTION("""COMPUTED_VALUE"""),0.0)</f>
        <v>0</v>
      </c>
      <c r="I107" s="11">
        <f>IFERROR(__xludf.DUMMYFUNCTION("""COMPUTED_VALUE"""),0.0)</f>
        <v>0</v>
      </c>
      <c r="J107" s="11">
        <f>IFERROR(__xludf.DUMMYFUNCTION("""COMPUTED_VALUE"""),0.0)</f>
        <v>0</v>
      </c>
      <c r="K107" s="11">
        <f>IFERROR(__xludf.DUMMYFUNCTION("""COMPUTED_VALUE"""),0.0)</f>
        <v>0</v>
      </c>
      <c r="L107" s="11">
        <f>IFERROR(__xludf.DUMMYFUNCTION("""COMPUTED_VALUE"""),0.0)</f>
        <v>0</v>
      </c>
      <c r="M107" s="3"/>
      <c r="N107" s="3"/>
      <c r="O107" s="3"/>
      <c r="P107" s="3"/>
      <c r="Q107" s="3"/>
      <c r="R107" s="3"/>
    </row>
    <row r="108" ht="15.75" customHeight="1">
      <c r="A108" s="6" t="str">
        <f>IFERROR(__xludf.DUMMYFUNCTION("""COMPUTED_VALUE"""),"経常利益")</f>
        <v>経常利益</v>
      </c>
      <c r="B108" s="7">
        <f>IFERROR(__xludf.DUMMYFUNCTION("""COMPUTED_VALUE"""),7533067.909090921)</f>
        <v>7533067.909</v>
      </c>
      <c r="C108" s="7">
        <f>IFERROR(__xludf.DUMMYFUNCTION("""COMPUTED_VALUE"""),1.334166918181818E7)</f>
        <v>13341669.18</v>
      </c>
      <c r="D108" s="7">
        <f>IFERROR(__xludf.DUMMYFUNCTION("""COMPUTED_VALUE"""),1.7222782545454547E7)</f>
        <v>17222782.55</v>
      </c>
      <c r="E108" s="7">
        <f>IFERROR(__xludf.DUMMYFUNCTION("""COMPUTED_VALUE"""),4574413.0)</f>
        <v>4574413</v>
      </c>
      <c r="F108" s="25">
        <f>IFERROR(__xludf.DUMMYFUNCTION("""COMPUTED_VALUE"""),3047789.090909091)</f>
        <v>3047789.091</v>
      </c>
      <c r="G108" s="7">
        <f>IFERROR(__xludf.DUMMYFUNCTION("""COMPUTED_VALUE"""),9051808.363636363)</f>
        <v>9051808.364</v>
      </c>
      <c r="H108" s="7">
        <f>IFERROR(__xludf.DUMMYFUNCTION("""COMPUTED_VALUE"""),-4029674.8181818184)</f>
        <v>-4029674.818</v>
      </c>
      <c r="I108" s="25">
        <f>IFERROR(__xludf.DUMMYFUNCTION("""COMPUTED_VALUE"""),-9113712.636363637)</f>
        <v>-9113712.636</v>
      </c>
      <c r="J108" s="25">
        <f>IFERROR(__xludf.DUMMYFUNCTION("""COMPUTED_VALUE"""),-3142614.090909091)</f>
        <v>-3142614.091</v>
      </c>
      <c r="K108" s="25">
        <f>IFERROR(__xludf.DUMMYFUNCTION("""COMPUTED_VALUE"""),-1.0282344363636363E7)</f>
        <v>-10282344.36</v>
      </c>
      <c r="L108" s="25">
        <f>IFERROR(__xludf.DUMMYFUNCTION("""COMPUTED_VALUE"""),-1.3137048363636363E7)</f>
        <v>-13137048.36</v>
      </c>
      <c r="M108" s="3"/>
      <c r="N108" s="3"/>
      <c r="O108" s="3"/>
      <c r="P108" s="3"/>
      <c r="Q108" s="3"/>
      <c r="R108" s="3"/>
    </row>
    <row r="109" ht="15.75" customHeight="1">
      <c r="A109" s="3" t="str">
        <f>IFERROR(__xludf.DUMMYFUNCTION("""COMPUTED_VALUE"""),"法人税及び住民税")</f>
        <v>法人税及び住民税</v>
      </c>
      <c r="B109" s="17">
        <f>IFERROR(__xludf.DUMMYFUNCTION("""COMPUTED_VALUE"""),3013227.1636363687)</f>
        <v>3013227.164</v>
      </c>
      <c r="C109" s="17">
        <f>IFERROR(__xludf.DUMMYFUNCTION("""COMPUTED_VALUE"""),5336667.672727272)</f>
        <v>5336667.673</v>
      </c>
      <c r="D109" s="17">
        <f>IFERROR(__xludf.DUMMYFUNCTION("""COMPUTED_VALUE"""),6889113.0181818195)</f>
        <v>6889113.018</v>
      </c>
      <c r="E109" s="17">
        <f>IFERROR(__xludf.DUMMYFUNCTION("""COMPUTED_VALUE"""),1829765.2000000002)</f>
        <v>1829765.2</v>
      </c>
      <c r="F109" s="23">
        <f>IFERROR(__xludf.DUMMYFUNCTION("""COMPUTED_VALUE"""),1219115.6363636365)</f>
        <v>1219115.636</v>
      </c>
      <c r="G109" s="17">
        <f>IFERROR(__xludf.DUMMYFUNCTION("""COMPUTED_VALUE"""),3620723.3454545457)</f>
        <v>3620723.345</v>
      </c>
      <c r="H109" s="17">
        <f>IFERROR(__xludf.DUMMYFUNCTION("""COMPUTED_VALUE"""),-1611869.9272727275)</f>
        <v>-1611869.927</v>
      </c>
      <c r="I109" s="23">
        <f>IFERROR(__xludf.DUMMYFUNCTION("""COMPUTED_VALUE"""),-3645485.0545454547)</f>
        <v>-3645485.055</v>
      </c>
      <c r="J109" s="23">
        <f>IFERROR(__xludf.DUMMYFUNCTION("""COMPUTED_VALUE"""),-1257045.6363636365)</f>
        <v>-1257045.636</v>
      </c>
      <c r="K109" s="23">
        <f>IFERROR(__xludf.DUMMYFUNCTION("""COMPUTED_VALUE"""),-4112937.7454545456)</f>
        <v>-4112937.745</v>
      </c>
      <c r="L109" s="23">
        <f>IFERROR(__xludf.DUMMYFUNCTION("""COMPUTED_VALUE"""),-5254819.345454546)</f>
        <v>-5254819.345</v>
      </c>
      <c r="M109" s="3"/>
      <c r="N109" s="3"/>
      <c r="O109" s="3"/>
      <c r="P109" s="3"/>
      <c r="Q109" s="3"/>
      <c r="R109" s="3"/>
    </row>
    <row r="110" ht="15.75" customHeight="1">
      <c r="A110" s="6" t="str">
        <f>IFERROR(__xludf.DUMMYFUNCTION("""COMPUTED_VALUE"""),"当期利益")</f>
        <v>当期利益</v>
      </c>
      <c r="B110" s="7">
        <f>IFERROR(__xludf.DUMMYFUNCTION("""COMPUTED_VALUE"""),4519840.745454553)</f>
        <v>4519840.745</v>
      </c>
      <c r="C110" s="7">
        <f>IFERROR(__xludf.DUMMYFUNCTION("""COMPUTED_VALUE"""),8005001.509090908)</f>
        <v>8005001.509</v>
      </c>
      <c r="D110" s="7">
        <f>IFERROR(__xludf.DUMMYFUNCTION("""COMPUTED_VALUE"""),1.0333669527272727E7)</f>
        <v>10333669.53</v>
      </c>
      <c r="E110" s="7">
        <f>IFERROR(__xludf.DUMMYFUNCTION("""COMPUTED_VALUE"""),2744647.8)</f>
        <v>2744647.8</v>
      </c>
      <c r="F110" s="25">
        <f>IFERROR(__xludf.DUMMYFUNCTION("""COMPUTED_VALUE"""),1828673.4545454544)</f>
        <v>1828673.455</v>
      </c>
      <c r="G110" s="7">
        <f>IFERROR(__xludf.DUMMYFUNCTION("""COMPUTED_VALUE"""),5431085.018181818)</f>
        <v>5431085.018</v>
      </c>
      <c r="H110" s="7">
        <f>IFERROR(__xludf.DUMMYFUNCTION("""COMPUTED_VALUE"""),-2417804.8909090906)</f>
        <v>-2417804.891</v>
      </c>
      <c r="I110" s="25">
        <f>IFERROR(__xludf.DUMMYFUNCTION("""COMPUTED_VALUE"""),-5468227.581818182)</f>
        <v>-5468227.582</v>
      </c>
      <c r="J110" s="25">
        <f>IFERROR(__xludf.DUMMYFUNCTION("""COMPUTED_VALUE"""),-1885568.4545454544)</f>
        <v>-1885568.455</v>
      </c>
      <c r="K110" s="25">
        <f>IFERROR(__xludf.DUMMYFUNCTION("""COMPUTED_VALUE"""),-6169406.618181817)</f>
        <v>-6169406.618</v>
      </c>
      <c r="L110" s="25">
        <f>IFERROR(__xludf.DUMMYFUNCTION("""COMPUTED_VALUE"""),-7882229.018181818)</f>
        <v>-7882229.018</v>
      </c>
      <c r="M110" s="3"/>
      <c r="N110" s="3"/>
      <c r="O110" s="3"/>
      <c r="P110" s="3"/>
      <c r="Q110" s="3"/>
      <c r="R110" s="3"/>
    </row>
    <row r="111" ht="15.75" customHeight="1">
      <c r="A111" s="3"/>
      <c r="B111" s="24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3"/>
      <c r="N111" s="3"/>
      <c r="O111" s="3"/>
      <c r="P111" s="3"/>
      <c r="Q111" s="3"/>
      <c r="R111" s="3"/>
    </row>
    <row r="112" ht="15.75" customHeight="1">
      <c r="A112" s="6" t="str">
        <f>IFERROR(__xludf.DUMMYFUNCTION("""COMPUTED_VALUE"""),"総合職1人あたり営業利益")</f>
        <v>総合職1人あたり営業利益</v>
      </c>
      <c r="B112" s="7">
        <f>IFERROR(__xludf.DUMMYFUNCTION("""COMPUTED_VALUE"""),121797.74046920841)</f>
        <v>121797.7405</v>
      </c>
      <c r="C112" s="7">
        <f>IFERROR(__xludf.DUMMYFUNCTION("""COMPUTED_VALUE"""),1667708.6477272725)</f>
        <v>1667708.648</v>
      </c>
      <c r="D112" s="7">
        <f>IFERROR(__xludf.DUMMYFUNCTION("""COMPUTED_VALUE"""),1497633.2648221345)</f>
        <v>1497633.265</v>
      </c>
      <c r="E112" s="7">
        <f>IFERROR(__xludf.DUMMYFUNCTION("""COMPUTED_VALUE"""),304960.86666666664)</f>
        <v>304960.8667</v>
      </c>
      <c r="F112" s="25">
        <f>IFERROR(__xludf.DUMMYFUNCTION("""COMPUTED_VALUE"""),3047789.090909091)</f>
        <v>3047789.091</v>
      </c>
      <c r="G112" s="7">
        <f>IFERROR(__xludf.DUMMYFUNCTION("""COMPUTED_VALUE"""),3017269.4545454546)</f>
        <v>3017269.455</v>
      </c>
      <c r="H112" s="7">
        <f>IFERROR(__xludf.DUMMYFUNCTION("""COMPUTED_VALUE"""),-575667.8311688312)</f>
        <v>-575667.8312</v>
      </c>
      <c r="I112" s="25">
        <f>IFERROR(__xludf.DUMMYFUNCTION("""COMPUTED_VALUE"""),-1012634.7373737374)</f>
        <v>-1012634.737</v>
      </c>
      <c r="J112" s="25">
        <f>IFERROR(__xludf.DUMMYFUNCTION("""COMPUTED_VALUE"""),-1047538.0303030303)</f>
        <v>-1047538.03</v>
      </c>
      <c r="K112" s="25">
        <f>IFERROR(__xludf.DUMMYFUNCTION("""COMPUTED_VALUE"""),-2932557.818181818)</f>
        <v>-2932557.818</v>
      </c>
      <c r="L112" s="25">
        <f>IFERROR(__xludf.DUMMYFUNCTION("""COMPUTED_VALUE"""),-1.3137048363636363E7)</f>
        <v>-13137048.36</v>
      </c>
      <c r="M112" s="3"/>
      <c r="N112" s="3"/>
      <c r="O112" s="3"/>
      <c r="P112" s="3"/>
      <c r="Q112" s="3"/>
      <c r="R112" s="3"/>
    </row>
    <row r="113" ht="15.75" customHeight="1">
      <c r="A113" s="26" t="str">
        <f>IFERROR(__xludf.DUMMYFUNCTION("""COMPUTED_VALUE"""),"総合職")</f>
        <v>総合職</v>
      </c>
      <c r="B113" s="27">
        <f>IFERROR(__xludf.DUMMYFUNCTION("""COMPUTED_VALUE"""),62.0)</f>
        <v>62</v>
      </c>
      <c r="C113" s="28">
        <f>IFERROR(__xludf.DUMMYFUNCTION("""COMPUTED_VALUE"""),8.0)</f>
        <v>8</v>
      </c>
      <c r="D113" s="28">
        <f>IFERROR(__xludf.DUMMYFUNCTION("""COMPUTED_VALUE"""),11.5)</f>
        <v>11.5</v>
      </c>
      <c r="E113" s="28">
        <f>IFERROR(__xludf.DUMMYFUNCTION("""COMPUTED_VALUE"""),15.0)</f>
        <v>15</v>
      </c>
      <c r="F113" s="28">
        <f>IFERROR(__xludf.DUMMYFUNCTION("""COMPUTED_VALUE"""),1.0)</f>
        <v>1</v>
      </c>
      <c r="G113" s="28">
        <f>IFERROR(__xludf.DUMMYFUNCTION("""COMPUTED_VALUE"""),3.0)</f>
        <v>3</v>
      </c>
      <c r="H113" s="28">
        <f>IFERROR(__xludf.DUMMYFUNCTION("""COMPUTED_VALUE"""),7.0)</f>
        <v>7</v>
      </c>
      <c r="I113" s="28">
        <f>IFERROR(__xludf.DUMMYFUNCTION("""COMPUTED_VALUE"""),9.0)</f>
        <v>9</v>
      </c>
      <c r="J113" s="28">
        <f>IFERROR(__xludf.DUMMYFUNCTION("""COMPUTED_VALUE"""),3.0)</f>
        <v>3</v>
      </c>
      <c r="K113" s="28">
        <f>IFERROR(__xludf.DUMMYFUNCTION("""COMPUTED_VALUE"""),3.5)</f>
        <v>3.5</v>
      </c>
      <c r="L113" s="28">
        <f>IFERROR(__xludf.DUMMYFUNCTION("""COMPUTED_VALUE"""),1.0)</f>
        <v>1</v>
      </c>
      <c r="M113" s="3"/>
      <c r="N113" s="3"/>
      <c r="O113" s="3"/>
      <c r="P113" s="3"/>
      <c r="Q113" s="3"/>
      <c r="R113" s="3"/>
    </row>
    <row r="114" ht="15.75" customHeight="1">
      <c r="A114" s="26" t="str">
        <f>IFERROR(__xludf.DUMMYFUNCTION("""COMPUTED_VALUE"""),"一般職")</f>
        <v>一般職</v>
      </c>
      <c r="B114" s="27">
        <f>IFERROR(__xludf.DUMMYFUNCTION("""COMPUTED_VALUE"""),26.0)</f>
        <v>26</v>
      </c>
      <c r="C114" s="28">
        <f>IFERROR(__xludf.DUMMYFUNCTION("""COMPUTED_VALUE"""),12.0)</f>
        <v>12</v>
      </c>
      <c r="D114" s="28">
        <f>IFERROR(__xludf.DUMMYFUNCTION("""COMPUTED_VALUE"""),4.0)</f>
        <v>4</v>
      </c>
      <c r="E114" s="28">
        <f>IFERROR(__xludf.DUMMYFUNCTION("""COMPUTED_VALUE"""),4.0)</f>
        <v>4</v>
      </c>
      <c r="F114" s="28">
        <f>IFERROR(__xludf.DUMMYFUNCTION("""COMPUTED_VALUE"""),2.0)</f>
        <v>2</v>
      </c>
      <c r="G114" s="28"/>
      <c r="H114" s="28">
        <f>IFERROR(__xludf.DUMMYFUNCTION("""COMPUTED_VALUE"""),1.0)</f>
        <v>1</v>
      </c>
      <c r="I114" s="28">
        <f>IFERROR(__xludf.DUMMYFUNCTION("""COMPUTED_VALUE"""),1.0)</f>
        <v>1</v>
      </c>
      <c r="J114" s="28"/>
      <c r="K114" s="28">
        <f>IFERROR(__xludf.DUMMYFUNCTION("""COMPUTED_VALUE"""),2.0)</f>
        <v>2</v>
      </c>
      <c r="L114" s="28"/>
      <c r="M114" s="3"/>
      <c r="N114" s="3"/>
      <c r="O114" s="3"/>
      <c r="P114" s="3"/>
      <c r="Q114" s="3"/>
      <c r="R114" s="3"/>
    </row>
    <row r="115" ht="15.75" customHeight="1">
      <c r="A115" s="3"/>
      <c r="B115" s="29">
        <f>IFERROR(__xludf.DUMMYFUNCTION("""COMPUTED_VALUE"""),88.0)</f>
        <v>88</v>
      </c>
      <c r="C115" s="29">
        <f>IFERROR(__xludf.DUMMYFUNCTION("""COMPUTED_VALUE"""),20.0)</f>
        <v>20</v>
      </c>
      <c r="D115" s="29">
        <f>IFERROR(__xludf.DUMMYFUNCTION("""COMPUTED_VALUE"""),15.5)</f>
        <v>15.5</v>
      </c>
      <c r="E115" s="29">
        <f>IFERROR(__xludf.DUMMYFUNCTION("""COMPUTED_VALUE"""),19.0)</f>
        <v>19</v>
      </c>
      <c r="F115" s="29">
        <f>IFERROR(__xludf.DUMMYFUNCTION("""COMPUTED_VALUE"""),3.0)</f>
        <v>3</v>
      </c>
      <c r="G115" s="29">
        <f>IFERROR(__xludf.DUMMYFUNCTION("""COMPUTED_VALUE"""),3.0)</f>
        <v>3</v>
      </c>
      <c r="H115" s="29">
        <f>IFERROR(__xludf.DUMMYFUNCTION("""COMPUTED_VALUE"""),8.0)</f>
        <v>8</v>
      </c>
      <c r="I115" s="29">
        <f>IFERROR(__xludf.DUMMYFUNCTION("""COMPUTED_VALUE"""),10.0)</f>
        <v>10</v>
      </c>
      <c r="J115" s="29">
        <f>IFERROR(__xludf.DUMMYFUNCTION("""COMPUTED_VALUE"""),3.0)</f>
        <v>3</v>
      </c>
      <c r="K115" s="29">
        <f>IFERROR(__xludf.DUMMYFUNCTION("""COMPUTED_VALUE"""),5.5)</f>
        <v>5.5</v>
      </c>
      <c r="L115" s="29">
        <f>IFERROR(__xludf.DUMMYFUNCTION("""COMPUTED_VALUE"""),1.0)</f>
        <v>1</v>
      </c>
      <c r="M115" s="3"/>
      <c r="N115" s="3"/>
      <c r="O115" s="3"/>
      <c r="P115" s="3"/>
      <c r="Q115" s="3"/>
      <c r="R115" s="3"/>
    </row>
    <row r="116" ht="15.75" customHeight="1">
      <c r="A116" s="6" t="str">
        <f>IFERROR(__xludf.DUMMYFUNCTION("""COMPUTED_VALUE"""),"営業利益（配布後）")</f>
        <v>営業利益（配布後）</v>
      </c>
      <c r="B116" s="7">
        <f>IFERROR(__xludf.DUMMYFUNCTION("""COMPUTED_VALUE"""),7551459.909090921)</f>
        <v>7551459.909</v>
      </c>
      <c r="C116" s="25">
        <f>IFERROR(__xludf.DUMMYFUNCTION("""COMPUTED_VALUE"""),4566920.481592786)</f>
        <v>4566920.482</v>
      </c>
      <c r="D116" s="7">
        <f>IFERROR(__xludf.DUMMYFUNCTION("""COMPUTED_VALUE"""),1.0422352302779868E7)</f>
        <v>10422352.3</v>
      </c>
      <c r="E116" s="25">
        <f>IFERROR(__xludf.DUMMYFUNCTION("""COMPUTED_VALUE"""),-3761598.2652141247)</f>
        <v>-3761598.265</v>
      </c>
      <c r="F116" s="25">
        <f>IFERROR(__xludf.DUMMYFUNCTION("""COMPUTED_VALUE"""),1731576.7858752818)</f>
        <v>1731576.786</v>
      </c>
      <c r="G116" s="25">
        <f>IFERROR(__xludf.DUMMYFUNCTION("""COMPUTED_VALUE"""),7735596.058602555)</f>
        <v>7735596.059</v>
      </c>
      <c r="H116" s="7">
        <f>IFERROR(__xludf.DUMMYFUNCTION("""COMPUTED_VALUE"""),-4029674.8181818184)</f>
        <v>-4029674.818</v>
      </c>
      <c r="I116" s="25">
        <f>IFERROR(__xludf.DUMMYFUNCTION("""COMPUTED_VALUE"""),-9113712.636363637)</f>
        <v>-9113712.636</v>
      </c>
      <c r="J116" s="25">
        <f>IFERROR(__xludf.DUMMYFUNCTION("""COMPUTED_VALUE"""),-3142614.090909091)</f>
        <v>-3142614.091</v>
      </c>
      <c r="K116" s="25">
        <f>IFERROR(__xludf.DUMMYFUNCTION("""COMPUTED_VALUE"""),-1.0263952363636363E7)</f>
        <v>-10263952.36</v>
      </c>
      <c r="L116" s="25">
        <f>IFERROR(__xludf.DUMMYFUNCTION("""COMPUTED_VALUE"""),-1.3137048363636363E7)</f>
        <v>-13137048.36</v>
      </c>
      <c r="M116" s="3"/>
      <c r="N116" s="3"/>
      <c r="O116" s="3"/>
      <c r="P116" s="3"/>
      <c r="Q116" s="3"/>
      <c r="R116" s="3"/>
    </row>
    <row r="117" ht="15.75" customHeight="1">
      <c r="A117" s="3" t="str">
        <f>IFERROR(__xludf.DUMMYFUNCTION("""COMPUTED_VALUE"""),"経常利益（配賦後）")</f>
        <v>経常利益（配賦後）</v>
      </c>
      <c r="B117" s="17">
        <f>IFERROR(__xludf.DUMMYFUNCTION("""COMPUTED_VALUE"""),7533067.909090921)</f>
        <v>7533067.909</v>
      </c>
      <c r="C117" s="23">
        <f>IFERROR(__xludf.DUMMYFUNCTION("""COMPUTED_VALUE"""),4566920.481592786)</f>
        <v>4566920.482</v>
      </c>
      <c r="D117" s="17">
        <f>IFERROR(__xludf.DUMMYFUNCTION("""COMPUTED_VALUE"""),1.0422352302779868E7)</f>
        <v>10422352.3</v>
      </c>
      <c r="E117" s="23">
        <f>IFERROR(__xludf.DUMMYFUNCTION("""COMPUTED_VALUE"""),-3761598.2652141247)</f>
        <v>-3761598.265</v>
      </c>
      <c r="F117" s="23">
        <f>IFERROR(__xludf.DUMMYFUNCTION("""COMPUTED_VALUE"""),1731576.7858752818)</f>
        <v>1731576.786</v>
      </c>
      <c r="G117" s="23">
        <f>IFERROR(__xludf.DUMMYFUNCTION("""COMPUTED_VALUE"""),7735596.058602555)</f>
        <v>7735596.059</v>
      </c>
      <c r="H117" s="17">
        <f>IFERROR(__xludf.DUMMYFUNCTION("""COMPUTED_VALUE"""),-4029674.8181818184)</f>
        <v>-4029674.818</v>
      </c>
      <c r="I117" s="23">
        <f>IFERROR(__xludf.DUMMYFUNCTION("""COMPUTED_VALUE"""),-9113712.636363637)</f>
        <v>-9113712.636</v>
      </c>
      <c r="J117" s="23">
        <f>IFERROR(__xludf.DUMMYFUNCTION("""COMPUTED_VALUE"""),-3142614.090909091)</f>
        <v>-3142614.091</v>
      </c>
      <c r="K117" s="23">
        <f>IFERROR(__xludf.DUMMYFUNCTION("""COMPUTED_VALUE"""),-1.0282344363636363E7)</f>
        <v>-10282344.36</v>
      </c>
      <c r="L117" s="23">
        <f>IFERROR(__xludf.DUMMYFUNCTION("""COMPUTED_VALUE"""),-1.3137048363636363E7)</f>
        <v>-13137048.36</v>
      </c>
      <c r="M117" s="3"/>
      <c r="N117" s="3"/>
      <c r="O117" s="3"/>
      <c r="P117" s="3"/>
      <c r="Q117" s="3"/>
      <c r="R117" s="3"/>
    </row>
    <row r="118" ht="15.75" customHeight="1">
      <c r="A118" s="26" t="str">
        <f>IFERROR(__xludf.DUMMYFUNCTION("""COMPUTED_VALUE"""),"人数(管理/内部/未来/経投除く)")</f>
        <v>人数(管理/内部/未来/経投除く)</v>
      </c>
      <c r="B118" s="30">
        <f>IFERROR(__xludf.DUMMYFUNCTION("""COMPUTED_VALUE"""),60.5)</f>
        <v>60.5</v>
      </c>
      <c r="C118" s="30">
        <f>IFERROR(__xludf.DUMMYFUNCTION("""COMPUTED_VALUE"""),20.0)</f>
        <v>20</v>
      </c>
      <c r="D118" s="30">
        <f>IFERROR(__xludf.DUMMYFUNCTION("""COMPUTED_VALUE"""),15.5)</f>
        <v>15.5</v>
      </c>
      <c r="E118" s="30">
        <f>IFERROR(__xludf.DUMMYFUNCTION("""COMPUTED_VALUE"""),19.0)</f>
        <v>19</v>
      </c>
      <c r="F118" s="30">
        <f>IFERROR(__xludf.DUMMYFUNCTION("""COMPUTED_VALUE"""),3.0)</f>
        <v>3</v>
      </c>
      <c r="G118" s="30">
        <f>IFERROR(__xludf.DUMMYFUNCTION("""COMPUTED_VALUE"""),3.0)</f>
        <v>3</v>
      </c>
      <c r="H118" s="31" t="str">
        <f>IFERROR(__xludf.DUMMYFUNCTION("""COMPUTED_VALUE"""),"※配賦対象外=未来、経投")</f>
        <v>※配賦対象外=未来、経投</v>
      </c>
      <c r="I118" s="31"/>
      <c r="J118" s="31"/>
      <c r="K118" s="31"/>
      <c r="L118" s="31"/>
      <c r="M118" s="3"/>
      <c r="N118" s="3"/>
      <c r="O118" s="3"/>
      <c r="P118" s="3"/>
      <c r="Q118" s="3"/>
      <c r="R118" s="3"/>
    </row>
    <row r="119" ht="15.75" customHeight="1">
      <c r="A119" s="26" t="str">
        <f>IFERROR(__xludf.DUMMYFUNCTION("""COMPUTED_VALUE"""),"配布割合")</f>
        <v>配布割合</v>
      </c>
      <c r="B119" s="32"/>
      <c r="C119" s="15">
        <f>IFERROR(__xludf.DUMMYFUNCTION("""COMPUTED_VALUE"""),0.3305785123966942)</f>
        <v>0.3305785124</v>
      </c>
      <c r="D119" s="15">
        <f>IFERROR(__xludf.DUMMYFUNCTION("""COMPUTED_VALUE"""),0.256198347107438)</f>
        <v>0.2561983471</v>
      </c>
      <c r="E119" s="15">
        <f>IFERROR(__xludf.DUMMYFUNCTION("""COMPUTED_VALUE"""),0.3140495867768595)</f>
        <v>0.3140495868</v>
      </c>
      <c r="F119" s="15">
        <f>IFERROR(__xludf.DUMMYFUNCTION("""COMPUTED_VALUE"""),0.049586776859504134)</f>
        <v>0.04958677686</v>
      </c>
      <c r="G119" s="15">
        <f>IFERROR(__xludf.DUMMYFUNCTION("""COMPUTED_VALUE"""),0.049586776859504134)</f>
        <v>0.04958677686</v>
      </c>
      <c r="H119" s="32" t="str">
        <f>IFERROR(__xludf.DUMMYFUNCTION("""COMPUTED_VALUE"""),"※配賦割合=部門の社員数/(配賦先組織の総社員数 P 講 放 採 グ)")</f>
        <v>※配賦割合=部門の社員数/(配賦先組織の総社員数 P 講 放 採 グ)</v>
      </c>
      <c r="I119" s="32"/>
      <c r="J119" s="32"/>
      <c r="K119" s="32"/>
      <c r="L119" s="32"/>
      <c r="M119" s="3"/>
      <c r="N119" s="3"/>
      <c r="O119" s="3"/>
      <c r="P119" s="3"/>
      <c r="Q119" s="3"/>
      <c r="R119" s="3"/>
    </row>
    <row r="120" ht="15.75" customHeight="1">
      <c r="A120" s="26" t="str">
        <f>IFERROR(__xludf.DUMMYFUNCTION("""COMPUTED_VALUE"""),"配布額")</f>
        <v>配布額</v>
      </c>
      <c r="B120" s="33">
        <f>IFERROR(__xludf.DUMMYFUNCTION("""COMPUTED_VALUE"""),2.6543614818181816E7)</f>
        <v>26543614.82</v>
      </c>
      <c r="C120" s="17">
        <f>IFERROR(__xludf.DUMMYFUNCTION("""COMPUTED_VALUE"""),8774748.700225394)</f>
        <v>8774748.7</v>
      </c>
      <c r="D120" s="17">
        <f>IFERROR(__xludf.DUMMYFUNCTION("""COMPUTED_VALUE"""),6800430.2426746795)</f>
        <v>6800430.243</v>
      </c>
      <c r="E120" s="17">
        <f>IFERROR(__xludf.DUMMYFUNCTION("""COMPUTED_VALUE"""),8336011.265214125)</f>
        <v>8336011.265</v>
      </c>
      <c r="F120" s="17">
        <f>IFERROR(__xludf.DUMMYFUNCTION("""COMPUTED_VALUE"""),1316212.305033809)</f>
        <v>1316212.305</v>
      </c>
      <c r="G120" s="17">
        <f>IFERROR(__xludf.DUMMYFUNCTION("""COMPUTED_VALUE"""),1316212.305033809)</f>
        <v>1316212.305</v>
      </c>
      <c r="H120" s="34" t="str">
        <f>IFERROR(__xludf.DUMMYFUNCTION("""COMPUTED_VALUE"""),"※配賦元=管理その他、管理、内部送客")</f>
        <v>※配賦元=管理その他、管理、内部送客</v>
      </c>
      <c r="I120" s="34"/>
      <c r="J120" s="34"/>
      <c r="K120" s="34"/>
      <c r="L120" s="34"/>
      <c r="M120" s="3"/>
      <c r="N120" s="3"/>
      <c r="O120" s="3"/>
      <c r="P120" s="3"/>
      <c r="Q120" s="3"/>
      <c r="R120" s="3"/>
    </row>
    <row r="121" ht="15.75" customHeight="1">
      <c r="A121" s="3"/>
      <c r="B121" s="3"/>
      <c r="C121" s="3"/>
      <c r="D121" s="3"/>
      <c r="E121" s="3"/>
      <c r="F121" s="1"/>
      <c r="G121" s="1"/>
      <c r="H121" s="1"/>
      <c r="I121" s="1"/>
      <c r="J121" s="1"/>
      <c r="K121" s="1"/>
      <c r="L121" s="1"/>
      <c r="M121" s="3"/>
      <c r="N121" s="3"/>
      <c r="O121" s="3"/>
      <c r="P121" s="3"/>
      <c r="Q121" s="3"/>
      <c r="R121" s="3"/>
    </row>
    <row r="122" ht="15.75" customHeight="1">
      <c r="A122" s="35" t="str">
        <f>IFERROR(__xludf.DUMMYFUNCTION("""COMPUTED_VALUE"""),"システム用")</f>
        <v>システム用</v>
      </c>
      <c r="B122" s="3"/>
      <c r="C122" s="3"/>
      <c r="D122" s="3"/>
      <c r="E122" s="3"/>
      <c r="F122" s="1"/>
      <c r="G122" s="1"/>
      <c r="H122" s="1"/>
      <c r="I122" s="1"/>
      <c r="J122" s="1"/>
      <c r="K122" s="1"/>
      <c r="L122" s="1"/>
      <c r="M122" s="3"/>
      <c r="N122" s="3"/>
      <c r="O122" s="3"/>
      <c r="P122" s="3"/>
      <c r="Q122" s="3"/>
      <c r="R122" s="3"/>
    </row>
    <row r="123" ht="15.75" customHeight="1">
      <c r="A123" s="35" t="str">
        <f>IFERROR(__xludf.DUMMYFUNCTION("""COMPUTED_VALUE"""),"freeeID")</f>
        <v>freeeID</v>
      </c>
      <c r="B123" s="35" t="str">
        <f>IFERROR(__xludf.DUMMYFUNCTION("""COMPUTED_VALUE"""),"# # # #")</f>
        <v># # # #</v>
      </c>
      <c r="C123" s="35" t="str">
        <f>IFERROR(__xludf.DUMMYFUNCTION("""COMPUTED_VALUE"""),"# # # #")</f>
        <v># # # #</v>
      </c>
      <c r="D123" s="35" t="str">
        <f>IFERROR(__xludf.DUMMYFUNCTION("""COMPUTED_VALUE"""),"# # # #")</f>
        <v># # # #</v>
      </c>
      <c r="E123" s="35" t="str">
        <f>IFERROR(__xludf.DUMMYFUNCTION("""COMPUTED_VALUE"""),"# # # #")</f>
        <v># # # #</v>
      </c>
      <c r="F123" s="35" t="str">
        <f>IFERROR(__xludf.DUMMYFUNCTION("""COMPUTED_VALUE"""),"# # # #")</f>
        <v># # # #</v>
      </c>
      <c r="G123" s="35" t="str">
        <f>IFERROR(__xludf.DUMMYFUNCTION("""COMPUTED_VALUE"""),"# # # #")</f>
        <v># # # #</v>
      </c>
      <c r="H123" s="35" t="str">
        <f>IFERROR(__xludf.DUMMYFUNCTION("""COMPUTED_VALUE"""),"# # # #")</f>
        <v># # # #</v>
      </c>
      <c r="I123" s="35" t="str">
        <f>IFERROR(__xludf.DUMMYFUNCTION("""COMPUTED_VALUE"""),"# # # #")</f>
        <v># # # #</v>
      </c>
      <c r="J123" s="35" t="str">
        <f>IFERROR(__xludf.DUMMYFUNCTION("""COMPUTED_VALUE"""),"# # # #")</f>
        <v># # # #</v>
      </c>
      <c r="K123" s="35" t="str">
        <f>IFERROR(__xludf.DUMMYFUNCTION("""COMPUTED_VALUE"""),"# # # #")</f>
        <v># # # #</v>
      </c>
      <c r="L123" s="35" t="str">
        <f>IFERROR(__xludf.DUMMYFUNCTION("""COMPUTED_VALUE"""),"# # # #")</f>
        <v># # # #</v>
      </c>
      <c r="M123" s="3"/>
      <c r="N123" s="3"/>
      <c r="O123" s="3"/>
      <c r="P123" s="3"/>
      <c r="Q123" s="3"/>
      <c r="R123" s="3"/>
    </row>
    <row r="124" ht="15.75" customHeight="1">
      <c r="A124" s="35" t="str">
        <f>IFERROR(__xludf.DUMMYFUNCTION("""COMPUTED_VALUE"""),"シート名")</f>
        <v>シート名</v>
      </c>
      <c r="B124" s="35" t="str">
        <f>IFERROR(__xludf.DUMMYFUNCTION("""COMPUTED_VALUE"""),"# # # #")</f>
        <v># # # #</v>
      </c>
      <c r="C124" s="35" t="str">
        <f>IFERROR(__xludf.DUMMYFUNCTION("""COMPUTED_VALUE"""),"# # # #")</f>
        <v># # # #</v>
      </c>
      <c r="D124" s="35" t="str">
        <f>IFERROR(__xludf.DUMMYFUNCTION("""COMPUTED_VALUE"""),"# # # #")</f>
        <v># # # #</v>
      </c>
      <c r="E124" s="35" t="str">
        <f>IFERROR(__xludf.DUMMYFUNCTION("""COMPUTED_VALUE"""),"# # # #")</f>
        <v># # # #</v>
      </c>
      <c r="F124" s="35" t="str">
        <f>IFERROR(__xludf.DUMMYFUNCTION("""COMPUTED_VALUE"""),"# # # #")</f>
        <v># # # #</v>
      </c>
      <c r="G124" s="35" t="str">
        <f>IFERROR(__xludf.DUMMYFUNCTION("""COMPUTED_VALUE"""),"# # # #")</f>
        <v># # # #</v>
      </c>
      <c r="H124" s="35" t="str">
        <f>IFERROR(__xludf.DUMMYFUNCTION("""COMPUTED_VALUE"""),"# # # #")</f>
        <v># # # #</v>
      </c>
      <c r="I124" s="35" t="str">
        <f>IFERROR(__xludf.DUMMYFUNCTION("""COMPUTED_VALUE"""),"# # # #")</f>
        <v># # # #</v>
      </c>
      <c r="J124" s="35" t="str">
        <f>IFERROR(__xludf.DUMMYFUNCTION("""COMPUTED_VALUE"""),"# # # #")</f>
        <v># # # #</v>
      </c>
      <c r="K124" s="35" t="str">
        <f>IFERROR(__xludf.DUMMYFUNCTION("""COMPUTED_VALUE"""),"# # # #")</f>
        <v># # # #</v>
      </c>
      <c r="L124" s="35" t="str">
        <f>IFERROR(__xludf.DUMMYFUNCTION("""COMPUTED_VALUE"""),"# # # #")</f>
        <v># # # #</v>
      </c>
      <c r="M124" s="3"/>
      <c r="N124" s="3"/>
      <c r="O124" s="3"/>
      <c r="P124" s="3"/>
      <c r="Q124" s="3"/>
      <c r="R124" s="3"/>
    </row>
    <row r="125" ht="15.75" customHeight="1">
      <c r="A125" s="5" t="str">
        <f>IFERROR(__xludf.DUMMYFUNCTION("""COMPUTED_VALUE"""),"経費")</f>
        <v>経費</v>
      </c>
      <c r="B125" s="19">
        <f>IFERROR(__xludf.DUMMYFUNCTION("""COMPUTED_VALUE"""),5.1793346E7)</f>
        <v>51793346</v>
      </c>
      <c r="C125" s="19">
        <f>IFERROR(__xludf.DUMMYFUNCTION("""COMPUTED_VALUE"""),6478130.0)</f>
        <v>6478130</v>
      </c>
      <c r="D125" s="19">
        <f>IFERROR(__xludf.DUMMYFUNCTION("""COMPUTED_VALUE"""),1.2981513E7)</f>
        <v>12981513</v>
      </c>
      <c r="E125" s="19">
        <f>IFERROR(__xludf.DUMMYFUNCTION("""COMPUTED_VALUE"""),2667682.0)</f>
        <v>2667682</v>
      </c>
      <c r="F125" s="19">
        <f>IFERROR(__xludf.DUMMYFUNCTION("""COMPUTED_VALUE"""),573862.0)</f>
        <v>573862</v>
      </c>
      <c r="G125" s="19">
        <f>IFERROR(__xludf.DUMMYFUNCTION("""COMPUTED_VALUE"""),289407.0)</f>
        <v>289407</v>
      </c>
      <c r="H125" s="19">
        <f>IFERROR(__xludf.DUMMYFUNCTION("""COMPUTED_VALUE"""),2029326.0)</f>
        <v>2029326</v>
      </c>
      <c r="I125" s="19">
        <f>IFERROR(__xludf.DUMMYFUNCTION("""COMPUTED_VALUE"""),6726353.0)</f>
        <v>6726353</v>
      </c>
      <c r="J125" s="19">
        <f>IFERROR(__xludf.DUMMYFUNCTION("""COMPUTED_VALUE"""),1458808.0)</f>
        <v>1458808</v>
      </c>
      <c r="K125" s="19">
        <f>IFERROR(__xludf.DUMMYFUNCTION("""COMPUTED_VALUE"""),8086393.0)</f>
        <v>8086393</v>
      </c>
      <c r="L125" s="19">
        <f>IFERROR(__xludf.DUMMYFUNCTION("""COMPUTED_VALUE"""),1.0501872E7)</f>
        <v>10501872</v>
      </c>
      <c r="M125" s="3"/>
      <c r="N125" s="3"/>
      <c r="O125" s="3"/>
      <c r="P125" s="3"/>
      <c r="Q125" s="3"/>
      <c r="R125" s="3"/>
    </row>
    <row r="126" ht="15.75" customHeight="1">
      <c r="A126" s="5" t="str">
        <f>IFERROR(__xludf.DUMMYFUNCTION("""COMPUTED_VALUE"""),"人件費")</f>
        <v>人件費</v>
      </c>
      <c r="B126" s="19">
        <f>IFERROR(__xludf.DUMMYFUNCTION("""COMPUTED_VALUE"""),4.4551787E7)</f>
        <v>44551787</v>
      </c>
      <c r="C126" s="19">
        <f>IFERROR(__xludf.DUMMYFUNCTION("""COMPUTED_VALUE"""),9783369.0)</f>
        <v>9783369</v>
      </c>
      <c r="D126" s="19">
        <f>IFERROR(__xludf.DUMMYFUNCTION("""COMPUTED_VALUE"""),7202392.0)</f>
        <v>7202392</v>
      </c>
      <c r="E126" s="19">
        <f>IFERROR(__xludf.DUMMYFUNCTION("""COMPUTED_VALUE"""),7201307.0)</f>
        <v>7201307</v>
      </c>
      <c r="F126" s="19">
        <f>IFERROR(__xludf.DUMMYFUNCTION("""COMPUTED_VALUE"""),1122470.0)</f>
        <v>1122470</v>
      </c>
      <c r="G126" s="19">
        <f>IFERROR(__xludf.DUMMYFUNCTION("""COMPUTED_VALUE"""),1901958.0)</f>
        <v>1901958</v>
      </c>
      <c r="H126" s="19">
        <f>IFERROR(__xludf.DUMMYFUNCTION("""COMPUTED_VALUE"""),4081033.0)</f>
        <v>4081033</v>
      </c>
      <c r="I126" s="19">
        <f>IFERROR(__xludf.DUMMYFUNCTION("""COMPUTED_VALUE"""),5363929.0)</f>
        <v>5363929</v>
      </c>
      <c r="J126" s="19">
        <f>IFERROR(__xludf.DUMMYFUNCTION("""COMPUTED_VALUE"""),1816425.0)</f>
        <v>1816425</v>
      </c>
      <c r="K126" s="19">
        <f>IFERROR(__xludf.DUMMYFUNCTION("""COMPUTED_VALUE"""),2929406.0)</f>
        <v>2929406</v>
      </c>
      <c r="L126" s="19">
        <f>IFERROR(__xludf.DUMMYFUNCTION("""COMPUTED_VALUE"""),3149498.0)</f>
        <v>3149498</v>
      </c>
      <c r="M126" s="3"/>
      <c r="N126" s="3"/>
      <c r="O126" s="3"/>
      <c r="P126" s="3"/>
      <c r="Q126" s="3"/>
      <c r="R126" s="3"/>
    </row>
    <row r="127" ht="15.7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</row>
    <row r="128" ht="15.7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</row>
    <row r="129" ht="15.7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</row>
    <row r="130" ht="15.7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</row>
    <row r="131" ht="15.7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</row>
    <row r="132" ht="15.7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</row>
    <row r="133" ht="15.7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</row>
    <row r="134" ht="15.7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</row>
    <row r="135" ht="15.7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</row>
    <row r="136" ht="15.7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</row>
    <row r="137" ht="15.7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</row>
    <row r="138" ht="15.7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</row>
    <row r="139" ht="15.7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</row>
    <row r="140" ht="15.7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</row>
    <row r="141" ht="15.7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</row>
    <row r="142" ht="15.7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</row>
    <row r="143" ht="15.7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</row>
    <row r="144" ht="15.7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</row>
    <row r="145" ht="15.7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</row>
    <row r="146" ht="15.7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</row>
    <row r="147" ht="15.7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</row>
    <row r="148" ht="15.7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</row>
    <row r="149" ht="15.7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</row>
    <row r="150" ht="15.7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</row>
    <row r="151" ht="15.7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</row>
    <row r="152" ht="15.7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</row>
    <row r="153" ht="15.7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</row>
    <row r="154" ht="15.7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</row>
    <row r="155" ht="15.7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</row>
    <row r="156" ht="15.7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</row>
    <row r="157" ht="15.7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</row>
    <row r="158" ht="15.7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</row>
    <row r="159" ht="15.7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</row>
    <row r="160" ht="15.7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</row>
    <row r="161" ht="15.7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</row>
    <row r="162" ht="15.7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</row>
    <row r="163" ht="15.7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</row>
    <row r="164" ht="15.7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</row>
    <row r="165" ht="15.7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</row>
    <row r="166" ht="15.7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</row>
    <row r="167" ht="15.7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</row>
    <row r="168" ht="15.7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</row>
    <row r="169" ht="15.7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</row>
    <row r="170" ht="15.7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</row>
    <row r="171" ht="15.7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</row>
    <row r="172" ht="15.7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</row>
    <row r="173" ht="15.7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</row>
    <row r="174" ht="15.7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</row>
    <row r="175" ht="15.7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</row>
    <row r="176" ht="15.7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</row>
    <row r="177" ht="15.7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</row>
    <row r="178" ht="15.7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</row>
    <row r="179" ht="15.7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</row>
    <row r="180" ht="15.7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</row>
    <row r="181" ht="15.7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</row>
    <row r="182" ht="15.7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</row>
    <row r="183" ht="15.7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</row>
    <row r="184" ht="15.7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</row>
    <row r="185" ht="15.7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</row>
    <row r="186" ht="15.7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</row>
    <row r="187" ht="15.7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</row>
    <row r="188" ht="15.7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</row>
    <row r="189" ht="15.7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</row>
    <row r="190" ht="15.7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</row>
    <row r="191" ht="15.7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</row>
    <row r="192" ht="15.7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</row>
    <row r="193" ht="15.7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</row>
    <row r="194" ht="15.7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</row>
    <row r="195" ht="15.7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</row>
    <row r="196" ht="15.7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</row>
    <row r="197" ht="15.7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</row>
    <row r="198" ht="15.7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</row>
    <row r="199" ht="15.7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</row>
    <row r="200" ht="15.7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</row>
    <row r="201" ht="15.7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</row>
    <row r="202" ht="15.7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</row>
    <row r="203" ht="15.7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</row>
    <row r="204" ht="15.7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</row>
    <row r="205" ht="15.7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</row>
    <row r="206" ht="15.7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</row>
    <row r="207" ht="15.7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</row>
    <row r="208" ht="15.7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</row>
    <row r="209" ht="15.7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</row>
    <row r="210" ht="15.7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</row>
    <row r="211" ht="15.7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</row>
    <row r="212" ht="15.7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</row>
    <row r="213" ht="15.7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</row>
    <row r="214" ht="15.7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</row>
    <row r="215" ht="15.7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</row>
    <row r="216" ht="15.7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</row>
    <row r="217" ht="15.7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</row>
    <row r="218" ht="15.7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</row>
    <row r="219" ht="15.7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</row>
    <row r="220" ht="15.7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</row>
    <row r="221" ht="15.7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</row>
    <row r="222" ht="15.7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</row>
    <row r="223" ht="15.7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</row>
    <row r="224" ht="15.7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</row>
    <row r="225" ht="15.7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</row>
    <row r="226" ht="15.7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</row>
    <row r="227" ht="15.7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</row>
    <row r="228" ht="15.7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</row>
    <row r="229" ht="15.7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</row>
    <row r="230" ht="15.7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</row>
    <row r="231" ht="15.7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</row>
    <row r="232" ht="15.7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</row>
    <row r="233" ht="15.7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</row>
    <row r="234" ht="15.7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</row>
    <row r="235" ht="15.7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</row>
    <row r="236" ht="15.7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</row>
    <row r="237" ht="15.7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</row>
    <row r="238" ht="15.7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</row>
    <row r="239" ht="15.7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</row>
    <row r="240" ht="15.7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</row>
    <row r="241" ht="15.7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</row>
    <row r="242" ht="15.7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</row>
    <row r="243" ht="15.7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</row>
    <row r="244" ht="15.7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</row>
    <row r="245" ht="15.7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</row>
    <row r="246" ht="15.7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</row>
    <row r="247" ht="15.7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</row>
    <row r="248" ht="15.7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IFERROR(__xludf.DUMMYFUNCTION("IMPORTRANGE(""https://docs.google.com/spreadsheets/d/1SlHuJEDBJ4Gy3WXeRPN-U9OYonTEM2Yhh4rIuiFr5bQ/edit#gid=256474166"",""管理!A:S"")"),"2022年度")</f>
        <v>2022年度</v>
      </c>
      <c r="B1" s="38">
        <f>IFERROR(__xludf.DUMMYFUNCTION("""COMPUTED_VALUE"""),11.0)</f>
        <v>11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IFERROR(__xludf.DUMMYFUNCTION("""COMPUTED_VALUE"""),"管理")</f>
        <v>管理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IFERROR(__xludf.DUMMYFUNCTION("""COMPUTED_VALUE"""),0.0)</f>
        <v>0</v>
      </c>
      <c r="C3" s="44">
        <f>IFERROR(__xludf.DUMMYFUNCTION("""COMPUTED_VALUE"""),0.0)</f>
        <v>0</v>
      </c>
      <c r="D3" s="44">
        <f>IFERROR(__xludf.DUMMYFUNCTION("""COMPUTED_VALUE"""),0.0)</f>
        <v>0</v>
      </c>
      <c r="E3" s="44">
        <f>IFERROR(__xludf.DUMMYFUNCTION("""COMPUTED_VALUE"""),0.0)</f>
        <v>0</v>
      </c>
      <c r="F3" s="44">
        <f>IFERROR(__xludf.DUMMYFUNCTION("""COMPUTED_VALUE"""),0.0)</f>
        <v>0</v>
      </c>
      <c r="G3" s="44">
        <f>IFERROR(__xludf.DUMMYFUNCTION("""COMPUTED_VALUE"""),0.0)</f>
        <v>0</v>
      </c>
      <c r="H3" s="24"/>
      <c r="I3" s="44">
        <f>IFERROR(__xludf.DUMMYFUNCTION("""COMPUTED_VALUE"""),0.0)</f>
        <v>0</v>
      </c>
      <c r="J3" s="44">
        <f>IFERROR(__xludf.DUMMYFUNCTION("""COMPUTED_VALUE"""),0.0)</f>
        <v>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IFERROR(__xludf.DUMMYFUNCTION("""COMPUTED_VALUE"""),0.0)</f>
        <v>0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 t="str">
        <f>IFERROR(__xludf.DUMMYFUNCTION("""COMPUTED_VALUE"""),"")</f>
        <v/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 t="str">
        <f>IFERROR(__xludf.DUMMYFUNCTION("""COMPUTED_VALUE"""),"")</f>
        <v/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 t="str">
        <f>IFERROR(__xludf.DUMMYFUNCTION("""COMPUTED_VALUE"""),"")</f>
        <v/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 t="str">
        <f>IFERROR(__xludf.DUMMYFUNCTION("""COMPUTED_VALUE"""),"")</f>
        <v/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 t="str">
        <f>IFERROR(__xludf.DUMMYFUNCTION("""COMPUTED_VALUE"""),"")</f>
        <v/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 t="str">
        <f>IFERROR(__xludf.DUMMYFUNCTION("""COMPUTED_VALUE"""),"")</f>
        <v/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 t="str">
        <f>IFERROR(__xludf.DUMMYFUNCTION("""COMPUTED_VALUE"""),"")</f>
        <v/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 t="str">
        <f>IFERROR(__xludf.DUMMYFUNCTION("""COMPUTED_VALUE"""),"")</f>
        <v/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 t="str">
        <f>IFERROR(__xludf.DUMMYFUNCTION("""COMPUTED_VALUE"""),"")</f>
        <v/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 t="str">
        <f>IFERROR(__xludf.DUMMYFUNCTION("""COMPUTED_VALUE"""),"")</f>
        <v/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 t="str">
        <f>IFERROR(__xludf.DUMMYFUNCTION("""COMPUTED_VALUE"""),"")</f>
        <v/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 t="str">
        <f>IFERROR(__xludf.DUMMYFUNCTION("""COMPUTED_VALUE"""),"")</f>
        <v/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 t="str">
        <f>IFERROR(__xludf.DUMMYFUNCTION("""COMPUTED_VALUE"""),"")</f>
        <v/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IFERROR(__xludf.DUMMYFUNCTION("""COMPUTED_VALUE"""),0.0)</f>
        <v>0</v>
      </c>
      <c r="C29" s="44">
        <f>IFERROR(__xludf.DUMMYFUNCTION("""COMPUTED_VALUE"""),0.0)</f>
        <v>0</v>
      </c>
      <c r="D29" s="44">
        <f>IFERROR(__xludf.DUMMYFUNCTION("""COMPUTED_VALUE"""),0.0)</f>
        <v>0</v>
      </c>
      <c r="E29" s="44">
        <f>IFERROR(__xludf.DUMMYFUNCTION("""COMPUTED_VALUE"""),0.0)</f>
        <v>0</v>
      </c>
      <c r="F29" s="44">
        <f>IFERROR(__xludf.DUMMYFUNCTION("""COMPUTED_VALUE"""),0.0)</f>
        <v>0</v>
      </c>
      <c r="G29" s="44">
        <f>IFERROR(__xludf.DUMMYFUNCTION("""COMPUTED_VALUE"""),0.0)</f>
        <v>0</v>
      </c>
      <c r="H29" s="24"/>
      <c r="I29" s="44">
        <f>IFERROR(__xludf.DUMMYFUNCTION("""COMPUTED_VALUE"""),0.0)</f>
        <v>0</v>
      </c>
      <c r="J29" s="44">
        <f>IFERROR(__xludf.DUMMYFUNCTION("""COMPUTED_VALUE"""),0.0)</f>
        <v>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IFERROR(__xludf.DUMMYFUNCTION("""COMPUTED_VALUE"""),0.0)</f>
        <v>0</v>
      </c>
      <c r="P29" s="45" t="str">
        <f>IFERROR(__xludf.DUMMYFUNCTION("""COMPUTED_VALUE"""),"")</f>
        <v/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 t="str">
        <f>IFERROR(__xludf.DUMMYFUNCTION("""COMPUTED_VALUE"""),"")</f>
        <v/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 t="str">
        <f>IFERROR(__xludf.DUMMYFUNCTION("""COMPUTED_VALUE"""),"")</f>
        <v/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 t="str">
        <f>IFERROR(__xludf.DUMMYFUNCTION("""COMPUTED_VALUE"""),"")</f>
        <v/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 t="str">
        <f>IFERROR(__xludf.DUMMYFUNCTION("""COMPUTED_VALUE"""),"")</f>
        <v/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 t="str">
        <f>IFERROR(__xludf.DUMMYFUNCTION("""COMPUTED_VALUE"""),"")</f>
        <v/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 t="str">
        <f>IFERROR(__xludf.DUMMYFUNCTION("""COMPUTED_VALUE"""),"")</f>
        <v/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 t="str">
        <f>IFERROR(__xludf.DUMMYFUNCTION("""COMPUTED_VALUE"""),"")</f>
        <v/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 t="str">
        <f>IFERROR(__xludf.DUMMYFUNCTION("""COMPUTED_VALUE"""),"")</f>
        <v/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 t="str">
        <f>IFERROR(__xludf.DUMMYFUNCTION("""COMPUTED_VALUE"""),"")</f>
        <v/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 t="str">
        <f>IFERROR(__xludf.DUMMYFUNCTION("""COMPUTED_VALUE"""),"")</f>
        <v/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 t="str">
        <f>IFERROR(__xludf.DUMMYFUNCTION("""COMPUTED_VALUE"""),"")</f>
        <v/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 t="str">
        <f>IFERROR(__xludf.DUMMYFUNCTION("""COMPUTED_VALUE"""),"")</f>
        <v/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 t="str">
        <f>IFERROR(__xludf.DUMMYFUNCTION("""COMPUTED_VALUE"""),"")</f>
        <v/>
      </c>
      <c r="C42" s="49" t="str">
        <f>IFERROR(__xludf.DUMMYFUNCTION("""COMPUTED_VALUE"""),"")</f>
        <v/>
      </c>
      <c r="D42" s="49" t="str">
        <f>IFERROR(__xludf.DUMMYFUNCTION("""COMPUTED_VALUE"""),"")</f>
        <v/>
      </c>
      <c r="E42" s="49" t="str">
        <f>IFERROR(__xludf.DUMMYFUNCTION("""COMPUTED_VALUE"""),"")</f>
        <v/>
      </c>
      <c r="F42" s="49" t="str">
        <f>IFERROR(__xludf.DUMMYFUNCTION("""COMPUTED_VALUE"""),"")</f>
        <v/>
      </c>
      <c r="G42" s="49" t="str">
        <f>IFERROR(__xludf.DUMMYFUNCTION("""COMPUTED_VALUE"""),"")</f>
        <v/>
      </c>
      <c r="H42" s="16"/>
      <c r="I42" s="49" t="str">
        <f>IFERROR(__xludf.DUMMYFUNCTION("""COMPUTED_VALUE"""),"")</f>
        <v/>
      </c>
      <c r="J42" s="49" t="str">
        <f>IFERROR(__xludf.DUMMYFUNCTION("""COMPUTED_VALUE"""),"")</f>
        <v/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 t="str">
        <f>IFERROR(__xludf.DUMMYFUNCTION("""COMPUTED_VALUE"""),"")</f>
        <v/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88">
        <f>IFERROR(__xludf.DUMMYFUNCTION("""COMPUTED_VALUE"""),1.3548808818181818E7)</f>
        <v>13548808.82</v>
      </c>
      <c r="C44" s="44">
        <f>IFERROR(__xludf.DUMMYFUNCTION("""COMPUTED_VALUE"""),1.0919396818181818E7)</f>
        <v>10919396.82</v>
      </c>
      <c r="D44" s="44">
        <f>IFERROR(__xludf.DUMMYFUNCTION("""COMPUTED_VALUE"""),1.2150602636363637E7)</f>
        <v>12150602.64</v>
      </c>
      <c r="E44" s="44">
        <f>IFERROR(__xludf.DUMMYFUNCTION("""COMPUTED_VALUE"""),7257362.909090909)</f>
        <v>7257362.909</v>
      </c>
      <c r="F44" s="44">
        <f>IFERROR(__xludf.DUMMYFUNCTION("""COMPUTED_VALUE"""),7526872.454545454)</f>
        <v>7526872.455</v>
      </c>
      <c r="G44" s="44">
        <f>IFERROR(__xludf.DUMMYFUNCTION("""COMPUTED_VALUE"""),7777175.181818182)</f>
        <v>7777175.182</v>
      </c>
      <c r="H44" s="49"/>
      <c r="I44" s="44">
        <f>IFERROR(__xludf.DUMMYFUNCTION("""COMPUTED_VALUE"""),9729370.636363637)</f>
        <v>9729370.636</v>
      </c>
      <c r="J44" s="44">
        <f>IFERROR(__xludf.DUMMYFUNCTION("""COMPUTED_VALUE"""),1.0263952363636363E7)</f>
        <v>10263952.36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IFERROR(__xludf.DUMMYFUNCTION("""COMPUTED_VALUE"""),7.917354181818181E7)</f>
        <v>79173541.82</v>
      </c>
      <c r="P44" s="22" t="str">
        <f>IFERROR(__xludf.DUMMYFUNCTION("""COMPUTED_VALUE"""),"")</f>
        <v/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IFERROR(__xludf.DUMMYFUNCTION("""COMPUTED_VALUE"""),2118078.0)</f>
        <v>2118078</v>
      </c>
      <c r="C45" s="24">
        <f>IFERROR(__xludf.DUMMYFUNCTION("""COMPUTED_VALUE"""),145512.0)</f>
        <v>145512</v>
      </c>
      <c r="D45" s="24">
        <f>IFERROR(__xludf.DUMMYFUNCTION("""COMPUTED_VALUE"""),157020.0)</f>
        <v>157020</v>
      </c>
      <c r="E45" s="24">
        <f>IFERROR(__xludf.DUMMYFUNCTION("""COMPUTED_VALUE"""),253139.0)</f>
        <v>253139</v>
      </c>
      <c r="F45" s="24">
        <f>IFERROR(__xludf.DUMMYFUNCTION("""COMPUTED_VALUE"""),276535.0)</f>
        <v>276535</v>
      </c>
      <c r="G45" s="24">
        <f>IFERROR(__xludf.DUMMYFUNCTION("""COMPUTED_VALUE"""),625248.0)</f>
        <v>625248</v>
      </c>
      <c r="H45" s="24">
        <f>IFERROR(__xludf.DUMMYFUNCTION("""COMPUTED_VALUE"""),0.0)</f>
        <v>0</v>
      </c>
      <c r="I45" s="24">
        <f>IFERROR(__xludf.DUMMYFUNCTION("""COMPUTED_VALUE"""),377021.0)</f>
        <v>377021</v>
      </c>
      <c r="J45" s="24">
        <f>IFERROR(__xludf.DUMMYFUNCTION("""COMPUTED_VALUE"""),1780140.0)</f>
        <v>1780140</v>
      </c>
      <c r="K45" s="24">
        <f>IFERROR(__xludf.DUMMYFUNCTION("""COMPUTED_VALUE"""),0.0)</f>
        <v>0</v>
      </c>
      <c r="L45" s="24">
        <f>IFERROR(__xludf.DUMMYFUNCTION("""COMPUTED_VALUE"""),0.0)</f>
        <v>0</v>
      </c>
      <c r="M45" s="24">
        <f>IFERROR(__xludf.DUMMYFUNCTION("""COMPUTED_VALUE"""),0.0)</f>
        <v>0</v>
      </c>
      <c r="N45" s="24">
        <f>IFERROR(__xludf.DUMMYFUNCTION("""COMPUTED_VALUE"""),0.0)</f>
        <v>0</v>
      </c>
      <c r="O45" s="24">
        <f>IFERROR(__xludf.DUMMYFUNCTION("""COMPUTED_VALUE"""),5732693.0)</f>
        <v>5732693</v>
      </c>
      <c r="P45" s="16">
        <f>IFERROR(__xludf.DUMMYFUNCTION("""COMPUTED_VALUE"""),0.07240667612375926)</f>
        <v>0.07240667612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IFERROR(__xludf.DUMMYFUNCTION("""COMPUTED_VALUE"""),38656.0)</f>
        <v>38656</v>
      </c>
      <c r="C46" s="11">
        <f>IFERROR(__xludf.DUMMYFUNCTION("""COMPUTED_VALUE"""),30068.0)</f>
        <v>30068</v>
      </c>
      <c r="D46" s="11">
        <f>IFERROR(__xludf.DUMMYFUNCTION("""COMPUTED_VALUE"""),38703.0)</f>
        <v>38703</v>
      </c>
      <c r="E46" s="11">
        <f>IFERROR(__xludf.DUMMYFUNCTION("""COMPUTED_VALUE"""),29918.0)</f>
        <v>29918</v>
      </c>
      <c r="F46" s="11">
        <f>IFERROR(__xludf.DUMMYFUNCTION("""COMPUTED_VALUE"""),38966.0)</f>
        <v>38966</v>
      </c>
      <c r="G46" s="11">
        <f>IFERROR(__xludf.DUMMYFUNCTION("""COMPUTED_VALUE"""),29637.0)</f>
        <v>29637</v>
      </c>
      <c r="H46" s="66"/>
      <c r="I46" s="11">
        <f>IFERROR(__xludf.DUMMYFUNCTION("""COMPUTED_VALUE"""),46934.0)</f>
        <v>46934</v>
      </c>
      <c r="J46" s="11">
        <f>IFERROR(__xludf.DUMMYFUNCTION("""COMPUTED_VALUE"""),39846.0)</f>
        <v>39846</v>
      </c>
      <c r="K46" s="11"/>
      <c r="L46" s="11"/>
      <c r="M46" s="11"/>
      <c r="N46" s="11"/>
      <c r="O46" s="77">
        <f>IFERROR(__xludf.DUMMYFUNCTION("""COMPUTED_VALUE"""),292728.0)</f>
        <v>292728</v>
      </c>
      <c r="P46" s="78">
        <f>IFERROR(__xludf.DUMMYFUNCTION("""COMPUTED_VALUE"""),0.051062912317125654)</f>
        <v>0.05106291232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IFERROR(__xludf.DUMMYFUNCTION("""COMPUTED_VALUE"""),1972.0)</f>
        <v>1972</v>
      </c>
      <c r="C47" s="11">
        <f>IFERROR(__xludf.DUMMYFUNCTION("""COMPUTED_VALUE"""),2544.0)</f>
        <v>2544</v>
      </c>
      <c r="D47" s="11">
        <f>IFERROR(__xludf.DUMMYFUNCTION("""COMPUTED_VALUE"""),1332.0)</f>
        <v>1332</v>
      </c>
      <c r="E47" s="11">
        <f>IFERROR(__xludf.DUMMYFUNCTION("""COMPUTED_VALUE"""),1314.0)</f>
        <v>1314</v>
      </c>
      <c r="F47" s="11">
        <f>IFERROR(__xludf.DUMMYFUNCTION("""COMPUTED_VALUE"""),2252.0)</f>
        <v>2252</v>
      </c>
      <c r="G47" s="11">
        <f>IFERROR(__xludf.DUMMYFUNCTION("""COMPUTED_VALUE"""),1446.0)</f>
        <v>1446</v>
      </c>
      <c r="H47" s="66"/>
      <c r="I47" s="11">
        <f>IFERROR(__xludf.DUMMYFUNCTION("""COMPUTED_VALUE"""),7988.0)</f>
        <v>7988</v>
      </c>
      <c r="J47" s="11">
        <f>IFERROR(__xludf.DUMMYFUNCTION("""COMPUTED_VALUE"""),29423.0)</f>
        <v>29423</v>
      </c>
      <c r="K47" s="11"/>
      <c r="L47" s="11"/>
      <c r="M47" s="11"/>
      <c r="N47" s="11"/>
      <c r="O47" s="77">
        <f>IFERROR(__xludf.DUMMYFUNCTION("""COMPUTED_VALUE"""),48271.0)</f>
        <v>48271</v>
      </c>
      <c r="P47" s="78">
        <f>IFERROR(__xludf.DUMMYFUNCTION("""COMPUTED_VALUE"""),0.008420300895233705)</f>
        <v>0.008420300895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IFERROR(__xludf.DUMMYFUNCTION("""COMPUTED_VALUE"""),2075250.0)</f>
        <v>2075250</v>
      </c>
      <c r="C48" s="11">
        <f>IFERROR(__xludf.DUMMYFUNCTION("""COMPUTED_VALUE"""),110700.0)</f>
        <v>110700</v>
      </c>
      <c r="D48" s="11">
        <f>IFERROR(__xludf.DUMMYFUNCTION("""COMPUTED_VALUE"""),114785.0)</f>
        <v>114785</v>
      </c>
      <c r="E48" s="11">
        <f>IFERROR(__xludf.DUMMYFUNCTION("""COMPUTED_VALUE"""),219707.0)</f>
        <v>219707</v>
      </c>
      <c r="F48" s="11">
        <f>IFERROR(__xludf.DUMMYFUNCTION("""COMPUTED_VALUE"""),233117.0)</f>
        <v>233117</v>
      </c>
      <c r="G48" s="11">
        <f>IFERROR(__xludf.DUMMYFUNCTION("""COMPUTED_VALUE"""),591965.0)</f>
        <v>591965</v>
      </c>
      <c r="H48" s="66"/>
      <c r="I48" s="11">
        <f>IFERROR(__xludf.DUMMYFUNCTION("""COMPUTED_VALUE"""),319899.0)</f>
        <v>319899</v>
      </c>
      <c r="J48" s="11">
        <f>IFERROR(__xludf.DUMMYFUNCTION("""COMPUTED_VALUE"""),1708671.0)</f>
        <v>1708671</v>
      </c>
      <c r="K48" s="11"/>
      <c r="L48" s="11"/>
      <c r="M48" s="11"/>
      <c r="N48" s="11"/>
      <c r="O48" s="77">
        <f>IFERROR(__xludf.DUMMYFUNCTION("""COMPUTED_VALUE"""),5374094.0)</f>
        <v>5374094</v>
      </c>
      <c r="P48" s="78">
        <f>IFERROR(__xludf.DUMMYFUNCTION("""COMPUTED_VALUE"""),0.9374466764572951)</f>
        <v>0.9374466765</v>
      </c>
      <c r="Q48" s="16"/>
    </row>
    <row r="49" ht="15.75" customHeight="1">
      <c r="A49" s="51" t="str">
        <f>IFERROR(__xludf.DUMMYFUNCTION("""COMPUTED_VALUE"""),"その他")</f>
        <v>その他</v>
      </c>
      <c r="B49" s="67">
        <f>IFERROR(__xludf.DUMMYFUNCTION("""COMPUTED_VALUE"""),2200.0)</f>
        <v>2200</v>
      </c>
      <c r="C49" s="11">
        <f>IFERROR(__xludf.DUMMYFUNCTION("""COMPUTED_VALUE"""),2200.0)</f>
        <v>2200</v>
      </c>
      <c r="D49" s="11">
        <f>IFERROR(__xludf.DUMMYFUNCTION("""COMPUTED_VALUE"""),2200.0)</f>
        <v>2200</v>
      </c>
      <c r="E49" s="11">
        <f>IFERROR(__xludf.DUMMYFUNCTION("""COMPUTED_VALUE"""),2200.0)</f>
        <v>2200</v>
      </c>
      <c r="F49" s="11">
        <f>IFERROR(__xludf.DUMMYFUNCTION("""COMPUTED_VALUE"""),2200.0)</f>
        <v>2200</v>
      </c>
      <c r="G49" s="11">
        <f>IFERROR(__xludf.DUMMYFUNCTION("""COMPUTED_VALUE"""),2200.0)</f>
        <v>2200</v>
      </c>
      <c r="H49" s="66"/>
      <c r="I49" s="11">
        <f>IFERROR(__xludf.DUMMYFUNCTION("""COMPUTED_VALUE"""),2200.0)</f>
        <v>2200</v>
      </c>
      <c r="J49" s="11">
        <f>IFERROR(__xludf.DUMMYFUNCTION("""COMPUTED_VALUE"""),2200.0)</f>
        <v>2200</v>
      </c>
      <c r="K49" s="11"/>
      <c r="L49" s="11"/>
      <c r="M49" s="11"/>
      <c r="N49" s="11"/>
      <c r="O49" s="77">
        <f>IFERROR(__xludf.DUMMYFUNCTION("""COMPUTED_VALUE"""),17600.0)</f>
        <v>17600</v>
      </c>
      <c r="P49" s="78">
        <f>IFERROR(__xludf.DUMMYFUNCTION("""COMPUTED_VALUE"""),0.003070110330345616)</f>
        <v>0.00307011033</v>
      </c>
      <c r="Q49" s="16"/>
    </row>
    <row r="50" ht="15.75" customHeight="1">
      <c r="A50" s="48" t="str">
        <f>IFERROR(__xludf.DUMMYFUNCTION("""COMPUTED_VALUE"""),"水道光熱費")</f>
        <v>水道光熱費</v>
      </c>
      <c r="B50" s="67">
        <f>IFERROR(__xludf.DUMMYFUNCTION("""COMPUTED_VALUE"""),197951.0)</f>
        <v>197951</v>
      </c>
      <c r="C50" s="11">
        <f>IFERROR(__xludf.DUMMYFUNCTION("""COMPUTED_VALUE"""),185356.0)</f>
        <v>185356</v>
      </c>
      <c r="D50" s="11">
        <f>IFERROR(__xludf.DUMMYFUNCTION("""COMPUTED_VALUE"""),280073.0)</f>
        <v>280073</v>
      </c>
      <c r="E50" s="11">
        <f>IFERROR(__xludf.DUMMYFUNCTION("""COMPUTED_VALUE"""),355070.0)</f>
        <v>355070</v>
      </c>
      <c r="F50" s="11">
        <f>IFERROR(__xludf.DUMMYFUNCTION("""COMPUTED_VALUE"""),382960.0)</f>
        <v>382960</v>
      </c>
      <c r="G50" s="11">
        <f>IFERROR(__xludf.DUMMYFUNCTION("""COMPUTED_VALUE"""),342835.0)</f>
        <v>342835</v>
      </c>
      <c r="H50" s="66"/>
      <c r="I50" s="11">
        <f>IFERROR(__xludf.DUMMYFUNCTION("""COMPUTED_VALUE"""),329338.0)</f>
        <v>329338</v>
      </c>
      <c r="J50" s="11">
        <f>IFERROR(__xludf.DUMMYFUNCTION("""COMPUTED_VALUE"""),228571.0)</f>
        <v>228571</v>
      </c>
      <c r="K50" s="11"/>
      <c r="L50" s="11"/>
      <c r="M50" s="11"/>
      <c r="N50" s="11"/>
      <c r="O50" s="24">
        <f>IFERROR(__xludf.DUMMYFUNCTION("""COMPUTED_VALUE"""),2302154.0)</f>
        <v>2302154</v>
      </c>
      <c r="P50" s="16">
        <f>IFERROR(__xludf.DUMMYFUNCTION("""COMPUTED_VALUE"""),0.029077314809116215)</f>
        <v>0.02907731481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IFERROR(__xludf.DUMMYFUNCTION("""COMPUTED_VALUE"""),35090.0)</f>
        <v>35090</v>
      </c>
      <c r="C51" s="11"/>
      <c r="D51" s="11">
        <f>IFERROR(__xludf.DUMMYFUNCTION("""COMPUTED_VALUE"""),9900.0)</f>
        <v>9900</v>
      </c>
      <c r="E51" s="11">
        <f>IFERROR(__xludf.DUMMYFUNCTION("""COMPUTED_VALUE"""),30520.0)</f>
        <v>30520</v>
      </c>
      <c r="F51" s="11">
        <f>IFERROR(__xludf.DUMMYFUNCTION("""COMPUTED_VALUE"""),5000.0)</f>
        <v>5000</v>
      </c>
      <c r="G51" s="11">
        <f>IFERROR(__xludf.DUMMYFUNCTION("""COMPUTED_VALUE"""),0.0)</f>
        <v>0</v>
      </c>
      <c r="H51" s="66"/>
      <c r="I51" s="11">
        <f>IFERROR(__xludf.DUMMYFUNCTION("""COMPUTED_VALUE"""),16880.0)</f>
        <v>16880</v>
      </c>
      <c r="J51" s="11">
        <f>IFERROR(__xludf.DUMMYFUNCTION("""COMPUTED_VALUE"""),35080.0)</f>
        <v>35080</v>
      </c>
      <c r="K51" s="11"/>
      <c r="L51" s="11"/>
      <c r="M51" s="11"/>
      <c r="N51" s="11"/>
      <c r="O51" s="24">
        <f>IFERROR(__xludf.DUMMYFUNCTION("""COMPUTED_VALUE"""),132470.0)</f>
        <v>132470</v>
      </c>
      <c r="P51" s="16">
        <f>IFERROR(__xludf.DUMMYFUNCTION("""COMPUTED_VALUE"""),0.0016731599592223739)</f>
        <v>0.001673159959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IFERROR(__xludf.DUMMYFUNCTION("""COMPUTED_VALUE"""),3080000.0)</f>
        <v>3080000</v>
      </c>
      <c r="C52" s="24">
        <f>IFERROR(__xludf.DUMMYFUNCTION("""COMPUTED_VALUE"""),4915680.0)</f>
        <v>4915680</v>
      </c>
      <c r="D52" s="24">
        <f>IFERROR(__xludf.DUMMYFUNCTION("""COMPUTED_VALUE"""),2953720.0)</f>
        <v>2953720</v>
      </c>
      <c r="E52" s="24">
        <f>IFERROR(__xludf.DUMMYFUNCTION("""COMPUTED_VALUE"""),0.0)</f>
        <v>0</v>
      </c>
      <c r="F52" s="24">
        <f>IFERROR(__xludf.DUMMYFUNCTION("""COMPUTED_VALUE"""),1875720.0)</f>
        <v>1875720</v>
      </c>
      <c r="G52" s="24">
        <f>IFERROR(__xludf.DUMMYFUNCTION("""COMPUTED_VALUE"""),1617000.0)</f>
        <v>1617000</v>
      </c>
      <c r="H52" s="24">
        <f>IFERROR(__xludf.DUMMYFUNCTION("""COMPUTED_VALUE"""),0.0)</f>
        <v>0</v>
      </c>
      <c r="I52" s="24">
        <f>IFERROR(__xludf.DUMMYFUNCTION("""COMPUTED_VALUE"""),3190880.0)</f>
        <v>3190880</v>
      </c>
      <c r="J52" s="24">
        <f>IFERROR(__xludf.DUMMYFUNCTION("""COMPUTED_VALUE"""),2005080.0)</f>
        <v>2005080</v>
      </c>
      <c r="K52" s="24">
        <f>IFERROR(__xludf.DUMMYFUNCTION("""COMPUTED_VALUE"""),0.0)</f>
        <v>0</v>
      </c>
      <c r="L52" s="24">
        <f>IFERROR(__xludf.DUMMYFUNCTION("""COMPUTED_VALUE"""),0.0)</f>
        <v>0</v>
      </c>
      <c r="M52" s="24">
        <f>IFERROR(__xludf.DUMMYFUNCTION("""COMPUTED_VALUE"""),0.0)</f>
        <v>0</v>
      </c>
      <c r="N52" s="24">
        <f>IFERROR(__xludf.DUMMYFUNCTION("""COMPUTED_VALUE"""),0.0)</f>
        <v>0</v>
      </c>
      <c r="O52" s="24">
        <f>IFERROR(__xludf.DUMMYFUNCTION("""COMPUTED_VALUE"""),1.963808E7)</f>
        <v>19638080</v>
      </c>
      <c r="P52" s="16">
        <f>IFERROR(__xludf.DUMMYFUNCTION("""COMPUTED_VALUE"""),0.24803841724168277)</f>
        <v>0.2480384172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11"/>
      <c r="D53" s="11"/>
      <c r="E53" s="11">
        <f>IFERROR(__xludf.DUMMYFUNCTION("""COMPUTED_VALUE"""),0.0)</f>
        <v>0</v>
      </c>
      <c r="F53" s="11">
        <f>IFERROR(__xludf.DUMMYFUNCTION("""COMPUTED_VALUE"""),0.0)</f>
        <v>0</v>
      </c>
      <c r="G53" s="11">
        <f>IFERROR(__xludf.DUMMYFUNCTION("""COMPUTED_VALUE"""),0.0)</f>
        <v>0</v>
      </c>
      <c r="H53" s="66"/>
      <c r="I53" s="11">
        <f>IFERROR(__xludf.DUMMYFUNCTION("""COMPUTED_VALUE"""),0.0)</f>
        <v>0</v>
      </c>
      <c r="J53" s="11">
        <f>IFERROR(__xludf.DUMMYFUNCTION("""COMPUTED_VALUE"""),0.0)</f>
        <v>0</v>
      </c>
      <c r="K53" s="11"/>
      <c r="L53" s="11"/>
      <c r="M53" s="11"/>
      <c r="N53" s="11"/>
      <c r="O53" s="77">
        <f>IFERROR(__xludf.DUMMYFUNCTION("""COMPUTED_VALUE"""),0.0)</f>
        <v>0</v>
      </c>
      <c r="P53" s="78">
        <f>IFERROR(__xludf.DUMMYFUNCTION("""COMPUTED_VALUE"""),0.0)</f>
        <v>0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11"/>
      <c r="D54" s="11"/>
      <c r="E54" s="11">
        <f>IFERROR(__xludf.DUMMYFUNCTION("""COMPUTED_VALUE"""),0.0)</f>
        <v>0</v>
      </c>
      <c r="F54" s="11">
        <f>IFERROR(__xludf.DUMMYFUNCTION("""COMPUTED_VALUE"""),0.0)</f>
        <v>0</v>
      </c>
      <c r="G54" s="11">
        <f>IFERROR(__xludf.DUMMYFUNCTION("""COMPUTED_VALUE"""),0.0)</f>
        <v>0</v>
      </c>
      <c r="H54" s="66"/>
      <c r="I54" s="11">
        <f>IFERROR(__xludf.DUMMYFUNCTION("""COMPUTED_VALUE"""),0.0)</f>
        <v>0</v>
      </c>
      <c r="J54" s="11">
        <f>IFERROR(__xludf.DUMMYFUNCTION("""COMPUTED_VALUE"""),0.0)</f>
        <v>0</v>
      </c>
      <c r="K54" s="11"/>
      <c r="L54" s="11"/>
      <c r="M54" s="11"/>
      <c r="N54" s="11"/>
      <c r="O54" s="77">
        <f>IFERROR(__xludf.DUMMYFUNCTION("""COMPUTED_VALUE"""),0.0)</f>
        <v>0</v>
      </c>
      <c r="P54" s="78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11"/>
      <c r="D55" s="11"/>
      <c r="E55" s="11">
        <f>IFERROR(__xludf.DUMMYFUNCTION("""COMPUTED_VALUE"""),0.0)</f>
        <v>0</v>
      </c>
      <c r="F55" s="11">
        <f>IFERROR(__xludf.DUMMYFUNCTION("""COMPUTED_VALUE"""),0.0)</f>
        <v>0</v>
      </c>
      <c r="G55" s="11">
        <f>IFERROR(__xludf.DUMMYFUNCTION("""COMPUTED_VALUE"""),0.0)</f>
        <v>0</v>
      </c>
      <c r="H55" s="66"/>
      <c r="I55" s="11">
        <f>IFERROR(__xludf.DUMMYFUNCTION("""COMPUTED_VALUE"""),0.0)</f>
        <v>0</v>
      </c>
      <c r="J55" s="11">
        <f>IFERROR(__xludf.DUMMYFUNCTION("""COMPUTED_VALUE"""),0.0)</f>
        <v>0</v>
      </c>
      <c r="K55" s="11"/>
      <c r="L55" s="11"/>
      <c r="M55" s="11"/>
      <c r="N55" s="11"/>
      <c r="O55" s="77">
        <f>IFERROR(__xludf.DUMMYFUNCTION("""COMPUTED_VALUE"""),0.0)</f>
        <v>0</v>
      </c>
      <c r="P55" s="78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11"/>
      <c r="D56" s="11"/>
      <c r="E56" s="11">
        <f>IFERROR(__xludf.DUMMYFUNCTION("""COMPUTED_VALUE"""),0.0)</f>
        <v>0</v>
      </c>
      <c r="F56" s="11">
        <f>IFERROR(__xludf.DUMMYFUNCTION("""COMPUTED_VALUE"""),0.0)</f>
        <v>0</v>
      </c>
      <c r="G56" s="11">
        <f>IFERROR(__xludf.DUMMYFUNCTION("""COMPUTED_VALUE"""),0.0)</f>
        <v>0</v>
      </c>
      <c r="H56" s="66"/>
      <c r="I56" s="11">
        <f>IFERROR(__xludf.DUMMYFUNCTION("""COMPUTED_VALUE"""),0.0)</f>
        <v>0</v>
      </c>
      <c r="J56" s="11">
        <f>IFERROR(__xludf.DUMMYFUNCTION("""COMPUTED_VALUE"""),0.0)</f>
        <v>0</v>
      </c>
      <c r="K56" s="11"/>
      <c r="L56" s="11"/>
      <c r="M56" s="11"/>
      <c r="N56" s="11"/>
      <c r="O56" s="77">
        <f>IFERROR(__xludf.DUMMYFUNCTION("""COMPUTED_VALUE"""),0.0)</f>
        <v>0</v>
      </c>
      <c r="P56" s="78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11"/>
      <c r="D57" s="11"/>
      <c r="E57" s="11">
        <f>IFERROR(__xludf.DUMMYFUNCTION("""COMPUTED_VALUE"""),0.0)</f>
        <v>0</v>
      </c>
      <c r="F57" s="11">
        <f>IFERROR(__xludf.DUMMYFUNCTION("""COMPUTED_VALUE"""),0.0)</f>
        <v>0</v>
      </c>
      <c r="G57" s="11">
        <f>IFERROR(__xludf.DUMMYFUNCTION("""COMPUTED_VALUE"""),0.0)</f>
        <v>0</v>
      </c>
      <c r="H57" s="66"/>
      <c r="I57" s="11">
        <f>IFERROR(__xludf.DUMMYFUNCTION("""COMPUTED_VALUE"""),0.0)</f>
        <v>0</v>
      </c>
      <c r="J57" s="11">
        <f>IFERROR(__xludf.DUMMYFUNCTION("""COMPUTED_VALUE"""),0.0)</f>
        <v>0</v>
      </c>
      <c r="K57" s="11"/>
      <c r="L57" s="11"/>
      <c r="M57" s="11"/>
      <c r="N57" s="11"/>
      <c r="O57" s="77">
        <f>IFERROR(__xludf.DUMMYFUNCTION("""COMPUTED_VALUE"""),0.0)</f>
        <v>0</v>
      </c>
      <c r="P57" s="78">
        <f>IFERROR(__xludf.DUMMYFUNCTION("""COMPUTED_VALUE"""),0.0)</f>
        <v>0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11"/>
      <c r="D58" s="11"/>
      <c r="E58" s="11">
        <f>IFERROR(__xludf.DUMMYFUNCTION("""COMPUTED_VALUE"""),0.0)</f>
        <v>0</v>
      </c>
      <c r="F58" s="11">
        <f>IFERROR(__xludf.DUMMYFUNCTION("""COMPUTED_VALUE"""),0.0)</f>
        <v>0</v>
      </c>
      <c r="G58" s="11">
        <f>IFERROR(__xludf.DUMMYFUNCTION("""COMPUTED_VALUE"""),0.0)</f>
        <v>0</v>
      </c>
      <c r="H58" s="66"/>
      <c r="I58" s="11">
        <f>IFERROR(__xludf.DUMMYFUNCTION("""COMPUTED_VALUE"""),0.0)</f>
        <v>0</v>
      </c>
      <c r="J58" s="11">
        <f>IFERROR(__xludf.DUMMYFUNCTION("""COMPUTED_VALUE"""),0.0)</f>
        <v>0</v>
      </c>
      <c r="K58" s="11"/>
      <c r="L58" s="11"/>
      <c r="M58" s="11"/>
      <c r="N58" s="11"/>
      <c r="O58" s="77">
        <f>IFERROR(__xludf.DUMMYFUNCTION("""COMPUTED_VALUE"""),0.0)</f>
        <v>0</v>
      </c>
      <c r="P58" s="78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67">
        <f>IFERROR(__xludf.DUMMYFUNCTION("""COMPUTED_VALUE"""),3080000.0)</f>
        <v>3080000</v>
      </c>
      <c r="C59" s="11">
        <f>IFERROR(__xludf.DUMMYFUNCTION("""COMPUTED_VALUE"""),4915680.0)</f>
        <v>4915680</v>
      </c>
      <c r="D59" s="11">
        <f>IFERROR(__xludf.DUMMYFUNCTION("""COMPUTED_VALUE"""),2953720.0)</f>
        <v>2953720</v>
      </c>
      <c r="E59" s="11">
        <f>IFERROR(__xludf.DUMMYFUNCTION("""COMPUTED_VALUE"""),0.0)</f>
        <v>0</v>
      </c>
      <c r="F59" s="11">
        <f>IFERROR(__xludf.DUMMYFUNCTION("""COMPUTED_VALUE"""),1875720.0)</f>
        <v>1875720</v>
      </c>
      <c r="G59" s="11">
        <f>IFERROR(__xludf.DUMMYFUNCTION("""COMPUTED_VALUE"""),1617000.0)</f>
        <v>1617000</v>
      </c>
      <c r="H59" s="66"/>
      <c r="I59" s="11">
        <f>IFERROR(__xludf.DUMMYFUNCTION("""COMPUTED_VALUE"""),3190880.0)</f>
        <v>3190880</v>
      </c>
      <c r="J59" s="11">
        <f>IFERROR(__xludf.DUMMYFUNCTION("""COMPUTED_VALUE"""),2005080.0)</f>
        <v>2005080</v>
      </c>
      <c r="K59" s="11"/>
      <c r="L59" s="11"/>
      <c r="M59" s="11"/>
      <c r="N59" s="11"/>
      <c r="O59" s="77">
        <f>IFERROR(__xludf.DUMMYFUNCTION("""COMPUTED_VALUE"""),1.963808E7)</f>
        <v>19638080</v>
      </c>
      <c r="P59" s="78">
        <f>IFERROR(__xludf.DUMMYFUNCTION("""COMPUTED_VALUE"""),1.0)</f>
        <v>1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11"/>
      <c r="D60" s="11"/>
      <c r="E60" s="11">
        <f>IFERROR(__xludf.DUMMYFUNCTION("""COMPUTED_VALUE"""),0.0)</f>
        <v>0</v>
      </c>
      <c r="F60" s="11">
        <f>IFERROR(__xludf.DUMMYFUNCTION("""COMPUTED_VALUE"""),0.0)</f>
        <v>0</v>
      </c>
      <c r="G60" s="11">
        <f>IFERROR(__xludf.DUMMYFUNCTION("""COMPUTED_VALUE"""),0.0)</f>
        <v>0</v>
      </c>
      <c r="H60" s="66"/>
      <c r="I60" s="11">
        <f>IFERROR(__xludf.DUMMYFUNCTION("""COMPUTED_VALUE"""),0.0)</f>
        <v>0</v>
      </c>
      <c r="J60" s="11">
        <f>IFERROR(__xludf.DUMMYFUNCTION("""COMPUTED_VALUE"""),0.0)</f>
        <v>0</v>
      </c>
      <c r="K60" s="11"/>
      <c r="L60" s="11"/>
      <c r="M60" s="11"/>
      <c r="N60" s="11"/>
      <c r="O60" s="77">
        <f>IFERROR(__xludf.DUMMYFUNCTION("""COMPUTED_VALUE"""),0.0)</f>
        <v>0</v>
      </c>
      <c r="P60" s="78">
        <f>IFERROR(__xludf.DUMMYFUNCTION("""COMPUTED_VALUE"""),0.0)</f>
        <v>0</v>
      </c>
      <c r="Q60" s="16"/>
    </row>
    <row r="61" ht="15.75" customHeight="1">
      <c r="A61" s="48" t="str">
        <f>IFERROR(__xludf.DUMMYFUNCTION("""COMPUTED_VALUE"""),"研修費")</f>
        <v>研修費</v>
      </c>
      <c r="B61" s="67">
        <f>IFERROR(__xludf.DUMMYFUNCTION("""COMPUTED_VALUE"""),403135.0)</f>
        <v>403135</v>
      </c>
      <c r="C61" s="11">
        <f>IFERROR(__xludf.DUMMYFUNCTION("""COMPUTED_VALUE"""),33396.0)</f>
        <v>33396</v>
      </c>
      <c r="D61" s="11">
        <f>IFERROR(__xludf.DUMMYFUNCTION("""COMPUTED_VALUE"""),64806.0)</f>
        <v>64806</v>
      </c>
      <c r="E61" s="11">
        <f>IFERROR(__xludf.DUMMYFUNCTION("""COMPUTED_VALUE"""),501661.0)</f>
        <v>501661</v>
      </c>
      <c r="F61" s="11">
        <f>IFERROR(__xludf.DUMMYFUNCTION("""COMPUTED_VALUE"""),180446.0)</f>
        <v>180446</v>
      </c>
      <c r="G61" s="11">
        <f>IFERROR(__xludf.DUMMYFUNCTION("""COMPUTED_VALUE"""),16115.0)</f>
        <v>16115</v>
      </c>
      <c r="H61" s="66"/>
      <c r="I61" s="11">
        <f>IFERROR(__xludf.DUMMYFUNCTION("""COMPUTED_VALUE"""),185454.0)</f>
        <v>185454</v>
      </c>
      <c r="J61" s="11">
        <f>IFERROR(__xludf.DUMMYFUNCTION("""COMPUTED_VALUE"""),519409.0)</f>
        <v>519409</v>
      </c>
      <c r="K61" s="11"/>
      <c r="L61" s="11"/>
      <c r="M61" s="11"/>
      <c r="N61" s="11"/>
      <c r="O61" s="24">
        <f>IFERROR(__xludf.DUMMYFUNCTION("""COMPUTED_VALUE"""),1904422.0)</f>
        <v>1904422</v>
      </c>
      <c r="P61" s="16">
        <f>IFERROR(__xludf.DUMMYFUNCTION("""COMPUTED_VALUE"""),0.02405376791622399)</f>
        <v>0.02405376792</v>
      </c>
      <c r="Q61" s="16"/>
    </row>
    <row r="62" ht="15.75" customHeight="1">
      <c r="A62" s="48" t="str">
        <f>IFERROR(__xludf.DUMMYFUNCTION("""COMPUTED_VALUE"""),"接待交際費")</f>
        <v>接待交際費</v>
      </c>
      <c r="B62" s="67">
        <f>IFERROR(__xludf.DUMMYFUNCTION("""COMPUTED_VALUE"""),54543.0)</f>
        <v>54543</v>
      </c>
      <c r="C62" s="11">
        <f>IFERROR(__xludf.DUMMYFUNCTION("""COMPUTED_VALUE"""),10000.0)</f>
        <v>10000</v>
      </c>
      <c r="D62" s="11">
        <f>IFERROR(__xludf.DUMMYFUNCTION("""COMPUTED_VALUE"""),135316.0)</f>
        <v>135316</v>
      </c>
      <c r="E62" s="11">
        <f>IFERROR(__xludf.DUMMYFUNCTION("""COMPUTED_VALUE"""),0.0)</f>
        <v>0</v>
      </c>
      <c r="F62" s="11">
        <f>IFERROR(__xludf.DUMMYFUNCTION("""COMPUTED_VALUE"""),36356.0)</f>
        <v>36356</v>
      </c>
      <c r="G62" s="11">
        <f>IFERROR(__xludf.DUMMYFUNCTION("""COMPUTED_VALUE"""),58794.0)</f>
        <v>58794</v>
      </c>
      <c r="H62" s="66"/>
      <c r="I62" s="11">
        <f>IFERROR(__xludf.DUMMYFUNCTION("""COMPUTED_VALUE"""),82112.0)</f>
        <v>82112</v>
      </c>
      <c r="J62" s="11">
        <f>IFERROR(__xludf.DUMMYFUNCTION("""COMPUTED_VALUE"""),62534.0)</f>
        <v>62534</v>
      </c>
      <c r="K62" s="11"/>
      <c r="L62" s="11"/>
      <c r="M62" s="11"/>
      <c r="N62" s="11"/>
      <c r="O62" s="24">
        <f>IFERROR(__xludf.DUMMYFUNCTION("""COMPUTED_VALUE"""),439655.0)</f>
        <v>439655</v>
      </c>
      <c r="P62" s="16">
        <f>IFERROR(__xludf.DUMMYFUNCTION("""COMPUTED_VALUE"""),0.005553054592525952)</f>
        <v>0.005553054593</v>
      </c>
      <c r="Q62" s="16"/>
    </row>
    <row r="63" ht="15.75" customHeight="1">
      <c r="A63" s="48" t="str">
        <f>IFERROR(__xludf.DUMMYFUNCTION("""COMPUTED_VALUE"""),"会議費")</f>
        <v>会議費</v>
      </c>
      <c r="B63" s="67">
        <f>IFERROR(__xludf.DUMMYFUNCTION("""COMPUTED_VALUE"""),3500.0)</f>
        <v>3500</v>
      </c>
      <c r="C63" s="11">
        <f>IFERROR(__xludf.DUMMYFUNCTION("""COMPUTED_VALUE"""),8500.0)</f>
        <v>8500</v>
      </c>
      <c r="D63" s="11">
        <f>IFERROR(__xludf.DUMMYFUNCTION("""COMPUTED_VALUE"""),12567.0)</f>
        <v>12567</v>
      </c>
      <c r="E63" s="11">
        <f>IFERROR(__xludf.DUMMYFUNCTION("""COMPUTED_VALUE"""),19400.0)</f>
        <v>19400</v>
      </c>
      <c r="F63" s="11">
        <f>IFERROR(__xludf.DUMMYFUNCTION("""COMPUTED_VALUE"""),16487.0)</f>
        <v>16487</v>
      </c>
      <c r="G63" s="11">
        <f>IFERROR(__xludf.DUMMYFUNCTION("""COMPUTED_VALUE"""),10339.0)</f>
        <v>10339</v>
      </c>
      <c r="H63" s="66"/>
      <c r="I63" s="11">
        <f>IFERROR(__xludf.DUMMYFUNCTION("""COMPUTED_VALUE"""),11478.0)</f>
        <v>11478</v>
      </c>
      <c r="J63" s="11">
        <f>IFERROR(__xludf.DUMMYFUNCTION("""COMPUTED_VALUE"""),40200.0)</f>
        <v>40200</v>
      </c>
      <c r="K63" s="11"/>
      <c r="L63" s="11"/>
      <c r="M63" s="11"/>
      <c r="N63" s="11"/>
      <c r="O63" s="24">
        <f>IFERROR(__xludf.DUMMYFUNCTION("""COMPUTED_VALUE"""),122471.0)</f>
        <v>122471</v>
      </c>
      <c r="P63" s="16">
        <f>IFERROR(__xludf.DUMMYFUNCTION("""COMPUTED_VALUE"""),0.0015468677690490176)</f>
        <v>0.001546867769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11"/>
      <c r="D64" s="11"/>
      <c r="E64" s="11">
        <f>IFERROR(__xludf.DUMMYFUNCTION("""COMPUTED_VALUE"""),0.0)</f>
        <v>0</v>
      </c>
      <c r="F64" s="11">
        <f>IFERROR(__xludf.DUMMYFUNCTION("""COMPUTED_VALUE"""),0.0)</f>
        <v>0</v>
      </c>
      <c r="G64" s="11">
        <f>IFERROR(__xludf.DUMMYFUNCTION("""COMPUTED_VALUE"""),0.0)</f>
        <v>0</v>
      </c>
      <c r="H64" s="66"/>
      <c r="I64" s="11">
        <f>IFERROR(__xludf.DUMMYFUNCTION("""COMPUTED_VALUE"""),0.0)</f>
        <v>0</v>
      </c>
      <c r="J64" s="11">
        <f>IFERROR(__xludf.DUMMYFUNCTION("""COMPUTED_VALUE"""),0.0)</f>
        <v>0</v>
      </c>
      <c r="K64" s="11"/>
      <c r="L64" s="11"/>
      <c r="M64" s="11"/>
      <c r="N64" s="11"/>
      <c r="O64" s="24">
        <f>IFERROR(__xludf.DUMMYFUNCTION("""COMPUTED_VALUE"""),0.0)</f>
        <v>0</v>
      </c>
      <c r="P64" s="16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IFERROR(__xludf.DUMMYFUNCTION("""COMPUTED_VALUE"""),600246.0)</f>
        <v>600246</v>
      </c>
      <c r="C65" s="11">
        <f>IFERROR(__xludf.DUMMYFUNCTION("""COMPUTED_VALUE"""),845903.0)</f>
        <v>845903</v>
      </c>
      <c r="D65" s="11">
        <f>IFERROR(__xludf.DUMMYFUNCTION("""COMPUTED_VALUE"""),914247.0)</f>
        <v>914247</v>
      </c>
      <c r="E65" s="11">
        <f>IFERROR(__xludf.DUMMYFUNCTION("""COMPUTED_VALUE"""),357642.0)</f>
        <v>357642</v>
      </c>
      <c r="F65" s="11">
        <f>IFERROR(__xludf.DUMMYFUNCTION("""COMPUTED_VALUE"""),284852.0)</f>
        <v>284852</v>
      </c>
      <c r="G65" s="11">
        <f>IFERROR(__xludf.DUMMYFUNCTION("""COMPUTED_VALUE"""),712778.0)</f>
        <v>712778</v>
      </c>
      <c r="H65" s="66"/>
      <c r="I65" s="11">
        <f>IFERROR(__xludf.DUMMYFUNCTION("""COMPUTED_VALUE"""),1324332.0)</f>
        <v>1324332</v>
      </c>
      <c r="J65" s="11">
        <f>IFERROR(__xludf.DUMMYFUNCTION("""COMPUTED_VALUE"""),322322.0)</f>
        <v>322322</v>
      </c>
      <c r="K65" s="11"/>
      <c r="L65" s="11"/>
      <c r="M65" s="11"/>
      <c r="N65" s="11"/>
      <c r="O65" s="24">
        <f>IFERROR(__xludf.DUMMYFUNCTION("""COMPUTED_VALUE"""),5362322.0)</f>
        <v>5362322</v>
      </c>
      <c r="P65" s="16">
        <f>IFERROR(__xludf.DUMMYFUNCTION("""COMPUTED_VALUE"""),0.06772871185066233)</f>
        <v>0.06772871185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11"/>
      <c r="D66" s="11"/>
      <c r="E66" s="11">
        <f>IFERROR(__xludf.DUMMYFUNCTION("""COMPUTED_VALUE"""),0.0)</f>
        <v>0</v>
      </c>
      <c r="F66" s="11">
        <f>IFERROR(__xludf.DUMMYFUNCTION("""COMPUTED_VALUE"""),5412.0)</f>
        <v>5412</v>
      </c>
      <c r="G66" s="11">
        <f>IFERROR(__xludf.DUMMYFUNCTION("""COMPUTED_VALUE"""),0.0)</f>
        <v>0</v>
      </c>
      <c r="H66" s="66"/>
      <c r="I66" s="11">
        <f>IFERROR(__xludf.DUMMYFUNCTION("""COMPUTED_VALUE"""),0.0)</f>
        <v>0</v>
      </c>
      <c r="J66" s="11">
        <f>IFERROR(__xludf.DUMMYFUNCTION("""COMPUTED_VALUE"""),0.0)</f>
        <v>0</v>
      </c>
      <c r="K66" s="11"/>
      <c r="L66" s="11"/>
      <c r="M66" s="11"/>
      <c r="N66" s="11"/>
      <c r="O66" s="24">
        <f>IFERROR(__xludf.DUMMYFUNCTION("""COMPUTED_VALUE"""),5412.0)</f>
        <v>5412</v>
      </c>
      <c r="P66" s="16">
        <f>IFERROR(__xludf.DUMMYFUNCTION("""COMPUTED_VALUE"""),6.835616893871433E-5)</f>
        <v>0.00006835616894</v>
      </c>
      <c r="Q66" s="16"/>
    </row>
    <row r="67" ht="15.75" customHeight="1">
      <c r="A67" s="48" t="str">
        <f>IFERROR(__xludf.DUMMYFUNCTION("""COMPUTED_VALUE"""),"保険料")</f>
        <v>保険料</v>
      </c>
      <c r="B67" s="67">
        <f>IFERROR(__xludf.DUMMYFUNCTION("""COMPUTED_VALUE"""),1019630.0)</f>
        <v>1019630</v>
      </c>
      <c r="C67" s="11"/>
      <c r="D67" s="11"/>
      <c r="E67" s="11">
        <f>IFERROR(__xludf.DUMMYFUNCTION("""COMPUTED_VALUE"""),0.0)</f>
        <v>0</v>
      </c>
      <c r="F67" s="11">
        <f>IFERROR(__xludf.DUMMYFUNCTION("""COMPUTED_VALUE"""),0.0)</f>
        <v>0</v>
      </c>
      <c r="G67" s="11">
        <f>IFERROR(__xludf.DUMMYFUNCTION("""COMPUTED_VALUE"""),0.0)</f>
        <v>0</v>
      </c>
      <c r="H67" s="66"/>
      <c r="I67" s="11">
        <f>IFERROR(__xludf.DUMMYFUNCTION("""COMPUTED_VALUE"""),0.0)</f>
        <v>0</v>
      </c>
      <c r="J67" s="11">
        <f>IFERROR(__xludf.DUMMYFUNCTION("""COMPUTED_VALUE"""),0.0)</f>
        <v>0</v>
      </c>
      <c r="K67" s="11"/>
      <c r="L67" s="11"/>
      <c r="M67" s="11"/>
      <c r="N67" s="11"/>
      <c r="O67" s="24">
        <f>IFERROR(__xludf.DUMMYFUNCTION("""COMPUTED_VALUE"""),1019630.0)</f>
        <v>1019630</v>
      </c>
      <c r="P67" s="16">
        <f>IFERROR(__xludf.DUMMYFUNCTION("""COMPUTED_VALUE"""),0.012878418428488784)</f>
        <v>0.01287841843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11"/>
      <c r="D68" s="11"/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66"/>
      <c r="I68" s="11">
        <f>IFERROR(__xludf.DUMMYFUNCTION("""COMPUTED_VALUE"""),0.0)</f>
        <v>0</v>
      </c>
      <c r="J68" s="11">
        <f>IFERROR(__xludf.DUMMYFUNCTION("""COMPUTED_VALUE"""),0.0)</f>
        <v>0</v>
      </c>
      <c r="K68" s="11"/>
      <c r="L68" s="11"/>
      <c r="M68" s="11"/>
      <c r="N68" s="11"/>
      <c r="O68" s="24">
        <f>IFERROR(__xludf.DUMMYFUNCTION("""COMPUTED_VALUE"""),0.0)</f>
        <v>0</v>
      </c>
      <c r="P68" s="16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11"/>
      <c r="D69" s="11"/>
      <c r="E69" s="11">
        <f>IFERROR(__xludf.DUMMYFUNCTION("""COMPUTED_VALUE"""),0.0)</f>
        <v>0</v>
      </c>
      <c r="F69" s="11">
        <f>IFERROR(__xludf.DUMMYFUNCTION("""COMPUTED_VALUE"""),0.0)</f>
        <v>0</v>
      </c>
      <c r="G69" s="11">
        <f>IFERROR(__xludf.DUMMYFUNCTION("""COMPUTED_VALUE"""),0.0)</f>
        <v>0</v>
      </c>
      <c r="H69" s="66"/>
      <c r="I69" s="11">
        <f>IFERROR(__xludf.DUMMYFUNCTION("""COMPUTED_VALUE"""),0.0)</f>
        <v>0</v>
      </c>
      <c r="J69" s="11">
        <f>IFERROR(__xludf.DUMMYFUNCTION("""COMPUTED_VALUE"""),0.0)</f>
        <v>0</v>
      </c>
      <c r="K69" s="11"/>
      <c r="L69" s="11"/>
      <c r="M69" s="11"/>
      <c r="N69" s="11"/>
      <c r="O69" s="24">
        <f>IFERROR(__xludf.DUMMYFUNCTION("""COMPUTED_VALUE"""),0.0)</f>
        <v>0</v>
      </c>
      <c r="P69" s="16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>
        <f>IFERROR(__xludf.DUMMYFUNCTION("""COMPUTED_VALUE"""),72342.0)</f>
        <v>72342</v>
      </c>
      <c r="C70" s="11">
        <f>IFERROR(__xludf.DUMMYFUNCTION("""COMPUTED_VALUE"""),72342.0)</f>
        <v>72342</v>
      </c>
      <c r="D70" s="11">
        <f>IFERROR(__xludf.DUMMYFUNCTION("""COMPUTED_VALUE"""),77418.0)</f>
        <v>77418</v>
      </c>
      <c r="E70" s="11">
        <f>IFERROR(__xludf.DUMMYFUNCTION("""COMPUTED_VALUE"""),49500.0)</f>
        <v>49500</v>
      </c>
      <c r="F70" s="11">
        <f>IFERROR(__xludf.DUMMYFUNCTION("""COMPUTED_VALUE"""),49500.0)</f>
        <v>49500</v>
      </c>
      <c r="G70" s="11">
        <f>IFERROR(__xludf.DUMMYFUNCTION("""COMPUTED_VALUE"""),49500.0)</f>
        <v>49500</v>
      </c>
      <c r="H70" s="66"/>
      <c r="I70" s="11">
        <f>IFERROR(__xludf.DUMMYFUNCTION("""COMPUTED_VALUE"""),49500.0)</f>
        <v>49500</v>
      </c>
      <c r="J70" s="11">
        <f>IFERROR(__xludf.DUMMYFUNCTION("""COMPUTED_VALUE"""),49500.0)</f>
        <v>49500</v>
      </c>
      <c r="K70" s="11"/>
      <c r="L70" s="11"/>
      <c r="M70" s="11"/>
      <c r="N70" s="11"/>
      <c r="O70" s="24">
        <f>IFERROR(__xludf.DUMMYFUNCTION("""COMPUTED_VALUE"""),469602.0)</f>
        <v>469602</v>
      </c>
      <c r="P70" s="16">
        <f>IFERROR(__xludf.DUMMYFUNCTION("""COMPUTED_VALUE"""),0.0059312996389427435)</f>
        <v>0.005931299639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11"/>
      <c r="D71" s="11"/>
      <c r="E71" s="11">
        <f>IFERROR(__xludf.DUMMYFUNCTION("""COMPUTED_VALUE"""),0.0)</f>
        <v>0</v>
      </c>
      <c r="F71" s="11">
        <f>IFERROR(__xludf.DUMMYFUNCTION("""COMPUTED_VALUE"""),0.0)</f>
        <v>0</v>
      </c>
      <c r="G71" s="11">
        <f>IFERROR(__xludf.DUMMYFUNCTION("""COMPUTED_VALUE"""),0.0)</f>
        <v>0</v>
      </c>
      <c r="H71" s="66"/>
      <c r="I71" s="11">
        <f>IFERROR(__xludf.DUMMYFUNCTION("""COMPUTED_VALUE"""),0.0)</f>
        <v>0</v>
      </c>
      <c r="J71" s="11">
        <f>IFERROR(__xludf.DUMMYFUNCTION("""COMPUTED_VALUE"""),0.0)</f>
        <v>0</v>
      </c>
      <c r="K71" s="11"/>
      <c r="L71" s="11"/>
      <c r="M71" s="11"/>
      <c r="N71" s="11"/>
      <c r="O71" s="24">
        <f>IFERROR(__xludf.DUMMYFUNCTION("""COMPUTED_VALUE"""),0.0)</f>
        <v>0</v>
      </c>
      <c r="P71" s="16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67">
        <f>IFERROR(__xludf.DUMMYFUNCTION("""COMPUTED_VALUE"""),96708.0)</f>
        <v>96708</v>
      </c>
      <c r="C72" s="11">
        <f>IFERROR(__xludf.DUMMYFUNCTION("""COMPUTED_VALUE"""),49500.0)</f>
        <v>49500</v>
      </c>
      <c r="D72" s="11">
        <f>IFERROR(__xludf.DUMMYFUNCTION("""COMPUTED_VALUE"""),60500.0)</f>
        <v>60500</v>
      </c>
      <c r="E72" s="11">
        <f>IFERROR(__xludf.DUMMYFUNCTION("""COMPUTED_VALUE"""),90200.0)</f>
        <v>90200</v>
      </c>
      <c r="F72" s="11">
        <f>IFERROR(__xludf.DUMMYFUNCTION("""COMPUTED_VALUE"""),152590.0)</f>
        <v>152590</v>
      </c>
      <c r="G72" s="11">
        <f>IFERROR(__xludf.DUMMYFUNCTION("""COMPUTED_VALUE"""),227700.0)</f>
        <v>227700</v>
      </c>
      <c r="H72" s="66"/>
      <c r="I72" s="11">
        <f>IFERROR(__xludf.DUMMYFUNCTION("""COMPUTED_VALUE"""),65000.0)</f>
        <v>65000</v>
      </c>
      <c r="J72" s="11">
        <f>IFERROR(__xludf.DUMMYFUNCTION("""COMPUTED_VALUE"""),187010.0)</f>
        <v>187010</v>
      </c>
      <c r="K72" s="11"/>
      <c r="L72" s="11"/>
      <c r="M72" s="11"/>
      <c r="N72" s="11"/>
      <c r="O72" s="24">
        <f>IFERROR(__xludf.DUMMYFUNCTION("""COMPUTED_VALUE"""),929208.0)</f>
        <v>929208</v>
      </c>
      <c r="P72" s="16">
        <f>IFERROR(__xludf.DUMMYFUNCTION("""COMPUTED_VALUE"""),0.011736344979158328)</f>
        <v>0.01173634498</v>
      </c>
      <c r="Q72" s="16"/>
    </row>
    <row r="73" ht="15.75" customHeight="1">
      <c r="A73" s="48" t="str">
        <f>IFERROR(__xludf.DUMMYFUNCTION("""COMPUTED_VALUE"""),"租税公課")</f>
        <v>租税公課</v>
      </c>
      <c r="B73" s="67">
        <f>IFERROR(__xludf.DUMMYFUNCTION("""COMPUTED_VALUE"""),8000.0)</f>
        <v>8000</v>
      </c>
      <c r="C73" s="11">
        <f>IFERROR(__xludf.DUMMYFUNCTION("""COMPUTED_VALUE"""),4000.0)</f>
        <v>4000</v>
      </c>
      <c r="D73" s="11"/>
      <c r="E73" s="11">
        <f>IFERROR(__xludf.DUMMYFUNCTION("""COMPUTED_VALUE"""),10000.0)</f>
        <v>10000</v>
      </c>
      <c r="F73" s="11">
        <f>IFERROR(__xludf.DUMMYFUNCTION("""COMPUTED_VALUE"""),0.0)</f>
        <v>0</v>
      </c>
      <c r="G73" s="11">
        <f>IFERROR(__xludf.DUMMYFUNCTION("""COMPUTED_VALUE"""),4000.0)</f>
        <v>4000</v>
      </c>
      <c r="H73" s="66"/>
      <c r="I73" s="11">
        <f>IFERROR(__xludf.DUMMYFUNCTION("""COMPUTED_VALUE"""),12000.0)</f>
        <v>12000</v>
      </c>
      <c r="J73" s="11">
        <f>IFERROR(__xludf.DUMMYFUNCTION("""COMPUTED_VALUE"""),0.0)</f>
        <v>0</v>
      </c>
      <c r="K73" s="11"/>
      <c r="L73" s="11"/>
      <c r="M73" s="11"/>
      <c r="N73" s="11"/>
      <c r="O73" s="24">
        <f>IFERROR(__xludf.DUMMYFUNCTION("""COMPUTED_VALUE"""),38000.0)</f>
        <v>38000</v>
      </c>
      <c r="P73" s="16">
        <f>IFERROR(__xludf.DUMMYFUNCTION("""COMPUTED_VALUE"""),4.7995831849060325E-4)</f>
        <v>0.0004799583185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11"/>
      <c r="D74" s="11"/>
      <c r="E74" s="11">
        <f>IFERROR(__xludf.DUMMYFUNCTION("""COMPUTED_VALUE"""),0.0)</f>
        <v>0</v>
      </c>
      <c r="F74" s="11">
        <f>IFERROR(__xludf.DUMMYFUNCTION("""COMPUTED_VALUE"""),0.0)</f>
        <v>0</v>
      </c>
      <c r="G74" s="11">
        <f>IFERROR(__xludf.DUMMYFUNCTION("""COMPUTED_VALUE"""),0.0)</f>
        <v>0</v>
      </c>
      <c r="H74" s="66"/>
      <c r="I74" s="11">
        <f>IFERROR(__xludf.DUMMYFUNCTION("""COMPUTED_VALUE"""),0.0)</f>
        <v>0</v>
      </c>
      <c r="J74" s="11">
        <f>IFERROR(__xludf.DUMMYFUNCTION("""COMPUTED_VALUE"""),0.0)</f>
        <v>0</v>
      </c>
      <c r="K74" s="11"/>
      <c r="L74" s="11"/>
      <c r="M74" s="11"/>
      <c r="N74" s="11"/>
      <c r="O74" s="24">
        <f>IFERROR(__xludf.DUMMYFUNCTION("""COMPUTED_VALUE"""),0.0)</f>
        <v>0</v>
      </c>
      <c r="P74" s="16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67">
        <f>IFERROR(__xludf.DUMMYFUNCTION("""COMPUTED_VALUE"""),1925000.0)</f>
        <v>1925000</v>
      </c>
      <c r="C75" s="11">
        <f>IFERROR(__xludf.DUMMYFUNCTION("""COMPUTED_VALUE"""),385000.0)</f>
        <v>385000</v>
      </c>
      <c r="D75" s="11">
        <f>IFERROR(__xludf.DUMMYFUNCTION("""COMPUTED_VALUE"""),385000.0)</f>
        <v>385000</v>
      </c>
      <c r="E75" s="11">
        <f>IFERROR(__xludf.DUMMYFUNCTION("""COMPUTED_VALUE"""),385000.0)</f>
        <v>385000</v>
      </c>
      <c r="F75" s="11">
        <f>IFERROR(__xludf.DUMMYFUNCTION("""COMPUTED_VALUE"""),385000.0)</f>
        <v>385000</v>
      </c>
      <c r="G75" s="11">
        <f>IFERROR(__xludf.DUMMYFUNCTION("""COMPUTED_VALUE"""),385000.0)</f>
        <v>385000</v>
      </c>
      <c r="H75" s="66"/>
      <c r="I75" s="11">
        <f>IFERROR(__xludf.DUMMYFUNCTION("""COMPUTED_VALUE"""),385000.0)</f>
        <v>385000</v>
      </c>
      <c r="J75" s="11">
        <f>IFERROR(__xludf.DUMMYFUNCTION("""COMPUTED_VALUE"""),1485000.0)</f>
        <v>1485000</v>
      </c>
      <c r="K75" s="11"/>
      <c r="L75" s="11"/>
      <c r="M75" s="11"/>
      <c r="N75" s="11"/>
      <c r="O75" s="24">
        <f>IFERROR(__xludf.DUMMYFUNCTION("""COMPUTED_VALUE"""),5720000.0)</f>
        <v>5720000</v>
      </c>
      <c r="P75" s="16">
        <f>IFERROR(__xludf.DUMMYFUNCTION("""COMPUTED_VALUE"""),0.07224635741490133)</f>
        <v>0.07224635741</v>
      </c>
      <c r="Q75" s="16"/>
    </row>
    <row r="76" ht="15.75" customHeight="1">
      <c r="A76" s="48" t="str">
        <f>IFERROR(__xludf.DUMMYFUNCTION("""COMPUTED_VALUE"""),"諸会費")</f>
        <v>諸会費</v>
      </c>
      <c r="B76" s="67">
        <f>IFERROR(__xludf.DUMMYFUNCTION("""COMPUTED_VALUE"""),151932.0)</f>
        <v>151932</v>
      </c>
      <c r="C76" s="11">
        <f>IFERROR(__xludf.DUMMYFUNCTION("""COMPUTED_VALUE"""),171000.0)</f>
        <v>171000</v>
      </c>
      <c r="D76" s="11"/>
      <c r="E76" s="11">
        <f>IFERROR(__xludf.DUMMYFUNCTION("""COMPUTED_VALUE"""),416389.0)</f>
        <v>416389</v>
      </c>
      <c r="F76" s="11">
        <f>IFERROR(__xludf.DUMMYFUNCTION("""COMPUTED_VALUE"""),0.0)</f>
        <v>0</v>
      </c>
      <c r="G76" s="11">
        <f>IFERROR(__xludf.DUMMYFUNCTION("""COMPUTED_VALUE"""),0.0)</f>
        <v>0</v>
      </c>
      <c r="H76" s="66"/>
      <c r="I76" s="11">
        <f>IFERROR(__xludf.DUMMYFUNCTION("""COMPUTED_VALUE"""),2448.0)</f>
        <v>2448</v>
      </c>
      <c r="J76" s="11">
        <f>IFERROR(__xludf.DUMMYFUNCTION("""COMPUTED_VALUE"""),200000.0)</f>
        <v>200000</v>
      </c>
      <c r="K76" s="11"/>
      <c r="L76" s="11"/>
      <c r="M76" s="11"/>
      <c r="N76" s="11"/>
      <c r="O76" s="24">
        <f>IFERROR(__xludf.DUMMYFUNCTION("""COMPUTED_VALUE"""),941769.0)</f>
        <v>941769</v>
      </c>
      <c r="P76" s="16">
        <f>IFERROR(__xludf.DUMMYFUNCTION("""COMPUTED_VALUE"""),0.011894996464383602)</f>
        <v>0.01189499646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IFERROR(__xludf.DUMMYFUNCTION("""COMPUTED_VALUE"""),3409587.0)</f>
        <v>3409587</v>
      </c>
      <c r="C77" s="24">
        <f>IFERROR(__xludf.DUMMYFUNCTION("""COMPUTED_VALUE"""),3453635.0)</f>
        <v>3453635</v>
      </c>
      <c r="D77" s="24">
        <f>IFERROR(__xludf.DUMMYFUNCTION("""COMPUTED_VALUE"""),5659159.0)</f>
        <v>5659159</v>
      </c>
      <c r="E77" s="24">
        <f>IFERROR(__xludf.DUMMYFUNCTION("""COMPUTED_VALUE"""),3424082.0)</f>
        <v>3424082</v>
      </c>
      <c r="F77" s="24">
        <f>IFERROR(__xludf.DUMMYFUNCTION("""COMPUTED_VALUE"""),2948277.0)</f>
        <v>2948277</v>
      </c>
      <c r="G77" s="24">
        <f>IFERROR(__xludf.DUMMYFUNCTION("""COMPUTED_VALUE"""),2848787.0)</f>
        <v>2848787</v>
      </c>
      <c r="H77" s="24">
        <f>IFERROR(__xludf.DUMMYFUNCTION("""COMPUTED_VALUE"""),0.0)</f>
        <v>0</v>
      </c>
      <c r="I77" s="24">
        <f>IFERROR(__xludf.DUMMYFUNCTION("""COMPUTED_VALUE"""),2975977.0)</f>
        <v>2975977</v>
      </c>
      <c r="J77" s="24">
        <f>IFERROR(__xludf.DUMMYFUNCTION("""COMPUTED_VALUE"""),2929406.0)</f>
        <v>2929406</v>
      </c>
      <c r="K77" s="24">
        <f>IFERROR(__xludf.DUMMYFUNCTION("""COMPUTED_VALUE"""),0.0)</f>
        <v>0</v>
      </c>
      <c r="L77" s="24">
        <f>IFERROR(__xludf.DUMMYFUNCTION("""COMPUTED_VALUE"""),0.0)</f>
        <v>0</v>
      </c>
      <c r="M77" s="24">
        <f>IFERROR(__xludf.DUMMYFUNCTION("""COMPUTED_VALUE"""),0.0)</f>
        <v>0</v>
      </c>
      <c r="N77" s="24">
        <f>IFERROR(__xludf.DUMMYFUNCTION("""COMPUTED_VALUE"""),0.0)</f>
        <v>0</v>
      </c>
      <c r="O77" s="24">
        <f>IFERROR(__xludf.DUMMYFUNCTION("""COMPUTED_VALUE"""),2.764891E7)</f>
        <v>27648910</v>
      </c>
      <c r="P77" s="16">
        <f>IFERROR(__xludf.DUMMYFUNCTION("""COMPUTED_VALUE"""),0.34921906188679014)</f>
        <v>0.3492190619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IFERROR(__xludf.DUMMYFUNCTION("""COMPUTED_VALUE"""),3176948.0)</f>
        <v>3176948</v>
      </c>
      <c r="C78" s="11">
        <f>IFERROR(__xludf.DUMMYFUNCTION("""COMPUTED_VALUE"""),3185709.0)</f>
        <v>3185709</v>
      </c>
      <c r="D78" s="11">
        <f>IFERROR(__xludf.DUMMYFUNCTION("""COMPUTED_VALUE"""),5250555.0)</f>
        <v>5250555</v>
      </c>
      <c r="E78" s="11">
        <f>IFERROR(__xludf.DUMMYFUNCTION("""COMPUTED_VALUE"""),3047194.0)</f>
        <v>3047194</v>
      </c>
      <c r="F78" s="11">
        <f>IFERROR(__xludf.DUMMYFUNCTION("""COMPUTED_VALUE"""),2708830.0)</f>
        <v>2708830</v>
      </c>
      <c r="G78" s="11">
        <f>IFERROR(__xludf.DUMMYFUNCTION("""COMPUTED_VALUE"""),2706340.0)</f>
        <v>2706340</v>
      </c>
      <c r="H78" s="66"/>
      <c r="I78" s="11">
        <f>IFERROR(__xludf.DUMMYFUNCTION("""COMPUTED_VALUE"""),2723445.0)</f>
        <v>2723445</v>
      </c>
      <c r="J78" s="11">
        <f>IFERROR(__xludf.DUMMYFUNCTION("""COMPUTED_VALUE"""),2728812.0)</f>
        <v>2728812</v>
      </c>
      <c r="K78" s="11"/>
      <c r="L78" s="11"/>
      <c r="M78" s="11"/>
      <c r="N78" s="11"/>
      <c r="O78" s="77">
        <f>IFERROR(__xludf.DUMMYFUNCTION("""COMPUTED_VALUE"""),2.5527833E7)</f>
        <v>25527833</v>
      </c>
      <c r="P78" s="78">
        <f>IFERROR(__xludf.DUMMYFUNCTION("""COMPUTED_VALUE"""),0.9232853302354415)</f>
        <v>0.9232853302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IFERROR(__xludf.DUMMYFUNCTION("""COMPUTED_VALUE"""),111141.0)</f>
        <v>111141</v>
      </c>
      <c r="C79" s="11">
        <f>IFERROR(__xludf.DUMMYFUNCTION("""COMPUTED_VALUE"""),155098.0)</f>
        <v>155098</v>
      </c>
      <c r="D79" s="11">
        <f>IFERROR(__xludf.DUMMYFUNCTION("""COMPUTED_VALUE"""),293631.0)</f>
        <v>293631</v>
      </c>
      <c r="E79" s="11">
        <f>IFERROR(__xludf.DUMMYFUNCTION("""COMPUTED_VALUE"""),277702.0)</f>
        <v>277702</v>
      </c>
      <c r="F79" s="11">
        <f>IFERROR(__xludf.DUMMYFUNCTION("""COMPUTED_VALUE"""),154587.0)</f>
        <v>154587</v>
      </c>
      <c r="G79" s="11">
        <f>IFERROR(__xludf.DUMMYFUNCTION("""COMPUTED_VALUE"""),18425.0)</f>
        <v>18425</v>
      </c>
      <c r="H79" s="66"/>
      <c r="I79" s="11">
        <f>IFERROR(__xludf.DUMMYFUNCTION("""COMPUTED_VALUE"""),125298.0)</f>
        <v>125298</v>
      </c>
      <c r="J79" s="11">
        <f>IFERROR(__xludf.DUMMYFUNCTION("""COMPUTED_VALUE"""),67138.0)</f>
        <v>67138</v>
      </c>
      <c r="K79" s="11"/>
      <c r="L79" s="11"/>
      <c r="M79" s="11"/>
      <c r="N79" s="11"/>
      <c r="O79" s="77">
        <f>IFERROR(__xludf.DUMMYFUNCTION("""COMPUTED_VALUE"""),1203020.0)</f>
        <v>1203020</v>
      </c>
      <c r="P79" s="78">
        <f>IFERROR(__xludf.DUMMYFUNCTION("""COMPUTED_VALUE"""),0.04351057600462369)</f>
        <v>0.043510576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IFERROR(__xludf.DUMMYFUNCTION("""COMPUTED_VALUE"""),106396.0)</f>
        <v>106396</v>
      </c>
      <c r="C80" s="11">
        <f>IFERROR(__xludf.DUMMYFUNCTION("""COMPUTED_VALUE"""),95930.0)</f>
        <v>95930</v>
      </c>
      <c r="D80" s="11">
        <f>IFERROR(__xludf.DUMMYFUNCTION("""COMPUTED_VALUE"""),97551.0)</f>
        <v>97551</v>
      </c>
      <c r="E80" s="11">
        <f>IFERROR(__xludf.DUMMYFUNCTION("""COMPUTED_VALUE"""),81238.0)</f>
        <v>81238</v>
      </c>
      <c r="F80" s="11">
        <f>IFERROR(__xludf.DUMMYFUNCTION("""COMPUTED_VALUE"""),80964.0)</f>
        <v>80964</v>
      </c>
      <c r="G80" s="11">
        <f>IFERROR(__xludf.DUMMYFUNCTION("""COMPUTED_VALUE"""),106600.0)</f>
        <v>106600</v>
      </c>
      <c r="H80" s="66"/>
      <c r="I80" s="11">
        <f>IFERROR(__xludf.DUMMYFUNCTION("""COMPUTED_VALUE"""),120216.0)</f>
        <v>120216</v>
      </c>
      <c r="J80" s="11">
        <f>IFERROR(__xludf.DUMMYFUNCTION("""COMPUTED_VALUE"""),121454.0)</f>
        <v>121454</v>
      </c>
      <c r="K80" s="11"/>
      <c r="L80" s="11"/>
      <c r="M80" s="11"/>
      <c r="N80" s="11"/>
      <c r="O80" s="77">
        <f>IFERROR(__xludf.DUMMYFUNCTION("""COMPUTED_VALUE"""),810349.0)</f>
        <v>810349</v>
      </c>
      <c r="P80" s="78">
        <f>IFERROR(__xludf.DUMMYFUNCTION("""COMPUTED_VALUE"""),0.029308533320120032)</f>
        <v>0.02930853332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IFERROR(__xludf.DUMMYFUNCTION("""COMPUTED_VALUE"""),15102.0)</f>
        <v>15102</v>
      </c>
      <c r="C81" s="11">
        <f>IFERROR(__xludf.DUMMYFUNCTION("""COMPUTED_VALUE"""),16898.0)</f>
        <v>16898</v>
      </c>
      <c r="D81" s="11">
        <f>IFERROR(__xludf.DUMMYFUNCTION("""COMPUTED_VALUE"""),17422.0)</f>
        <v>17422</v>
      </c>
      <c r="E81" s="11">
        <f>IFERROR(__xludf.DUMMYFUNCTION("""COMPUTED_VALUE"""),17948.0)</f>
        <v>17948</v>
      </c>
      <c r="F81" s="11">
        <f>IFERROR(__xludf.DUMMYFUNCTION("""COMPUTED_VALUE"""),3896.0)</f>
        <v>3896</v>
      </c>
      <c r="G81" s="11">
        <f>IFERROR(__xludf.DUMMYFUNCTION("""COMPUTED_VALUE"""),17422.0)</f>
        <v>17422</v>
      </c>
      <c r="H81" s="66"/>
      <c r="I81" s="11">
        <f>IFERROR(__xludf.DUMMYFUNCTION("""COMPUTED_VALUE"""),7018.0)</f>
        <v>7018</v>
      </c>
      <c r="J81" s="11">
        <f>IFERROR(__xludf.DUMMYFUNCTION("""COMPUTED_VALUE"""),12002.0)</f>
        <v>12002</v>
      </c>
      <c r="K81" s="11"/>
      <c r="L81" s="11"/>
      <c r="M81" s="11"/>
      <c r="N81" s="11"/>
      <c r="O81" s="77">
        <f>IFERROR(__xludf.DUMMYFUNCTION("""COMPUTED_VALUE"""),107708.0)</f>
        <v>107708</v>
      </c>
      <c r="P81" s="78">
        <f>IFERROR(__xludf.DUMMYFUNCTION("""COMPUTED_VALUE"""),0.0038955604398148063)</f>
        <v>0.00389556044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11"/>
      <c r="D82" s="11"/>
      <c r="E82" s="11"/>
      <c r="F82" s="11"/>
      <c r="G82" s="11"/>
      <c r="H82" s="66"/>
      <c r="I82" s="11"/>
      <c r="J82" s="11"/>
      <c r="K82" s="11"/>
      <c r="L82" s="11"/>
      <c r="M82" s="11"/>
      <c r="N82" s="11"/>
      <c r="O82" s="24">
        <f>IFERROR(__xludf.DUMMYFUNCTION("""COMPUTED_VALUE"""),0.0)</f>
        <v>0</v>
      </c>
      <c r="P82" s="16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67">
        <f>IFERROR(__xludf.DUMMYFUNCTION("""COMPUTED_VALUE"""),5280.0)</f>
        <v>5280</v>
      </c>
      <c r="C83" s="11">
        <f>IFERROR(__xludf.DUMMYFUNCTION("""COMPUTED_VALUE"""),5280.0)</f>
        <v>5280</v>
      </c>
      <c r="D83" s="11">
        <f>IFERROR(__xludf.DUMMYFUNCTION("""COMPUTED_VALUE"""),5280.0)</f>
        <v>5280</v>
      </c>
      <c r="E83" s="11">
        <f>IFERROR(__xludf.DUMMYFUNCTION("""COMPUTED_VALUE"""),5280.0)</f>
        <v>5280</v>
      </c>
      <c r="F83" s="11">
        <f>IFERROR(__xludf.DUMMYFUNCTION("""COMPUTED_VALUE"""),5280.0)</f>
        <v>5280</v>
      </c>
      <c r="G83" s="11">
        <f>IFERROR(__xludf.DUMMYFUNCTION("""COMPUTED_VALUE"""),5280.0)</f>
        <v>5280</v>
      </c>
      <c r="H83" s="66"/>
      <c r="I83" s="11"/>
      <c r="J83" s="11">
        <f>IFERROR(__xludf.DUMMYFUNCTION("""COMPUTED_VALUE"""),5280.0)</f>
        <v>5280</v>
      </c>
      <c r="K83" s="11"/>
      <c r="L83" s="11"/>
      <c r="M83" s="11"/>
      <c r="N83" s="11"/>
      <c r="O83" s="24">
        <f>IFERROR(__xludf.DUMMYFUNCTION("""COMPUTED_VALUE"""),36960.0)</f>
        <v>36960</v>
      </c>
      <c r="P83" s="16">
        <f>IFERROR(__xludf.DUMMYFUNCTION("""COMPUTED_VALUE"""),4.6682261714243935E-4)</f>
        <v>0.0004668226171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IFERROR(__xludf.DUMMYFUNCTION("""COMPUTED_VALUE"""),325077.0)</f>
        <v>325077</v>
      </c>
      <c r="C84" s="24">
        <f>IFERROR(__xludf.DUMMYFUNCTION("""COMPUTED_VALUE"""),325581.0)</f>
        <v>325581</v>
      </c>
      <c r="D84" s="24">
        <f>IFERROR(__xludf.DUMMYFUNCTION("""COMPUTED_VALUE"""),991277.0)</f>
        <v>991277</v>
      </c>
      <c r="E84" s="24">
        <f>IFERROR(__xludf.DUMMYFUNCTION("""COMPUTED_VALUE"""),337788.0)</f>
        <v>337788</v>
      </c>
      <c r="F84" s="24">
        <f>IFERROR(__xludf.DUMMYFUNCTION("""COMPUTED_VALUE"""),320265.0)</f>
        <v>320265</v>
      </c>
      <c r="G84" s="24">
        <f>IFERROR(__xludf.DUMMYFUNCTION("""COMPUTED_VALUE"""),307796.0)</f>
        <v>307796</v>
      </c>
      <c r="H84" s="66">
        <f>IFERROR(__xludf.DUMMYFUNCTION("""COMPUTED_VALUE"""),0.0)</f>
        <v>0</v>
      </c>
      <c r="I84" s="24">
        <f>IFERROR(__xludf.DUMMYFUNCTION("""COMPUTED_VALUE"""),324158.0)</f>
        <v>324158</v>
      </c>
      <c r="J84" s="24">
        <f>IFERROR(__xludf.DUMMYFUNCTION("""COMPUTED_VALUE"""),349987.0)</f>
        <v>349987</v>
      </c>
      <c r="K84" s="24">
        <f>IFERROR(__xludf.DUMMYFUNCTION("""COMPUTED_VALUE"""),0.0)</f>
        <v>0</v>
      </c>
      <c r="L84" s="24">
        <f>IFERROR(__xludf.DUMMYFUNCTION("""COMPUTED_VALUE"""),0.0)</f>
        <v>0</v>
      </c>
      <c r="M84" s="24">
        <f>IFERROR(__xludf.DUMMYFUNCTION("""COMPUTED_VALUE"""),0.0)</f>
        <v>0</v>
      </c>
      <c r="N84" s="24">
        <f>IFERROR(__xludf.DUMMYFUNCTION("""COMPUTED_VALUE"""),0.0)</f>
        <v>0</v>
      </c>
      <c r="O84" s="24">
        <f>IFERROR(__xludf.DUMMYFUNCTION("""COMPUTED_VALUE"""),3281929.0)</f>
        <v>3281929</v>
      </c>
      <c r="P84" s="16">
        <f>IFERROR(__xludf.DUMMYFUNCTION("""COMPUTED_VALUE"""),0.041452345374882814)</f>
        <v>0.04145234537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67">
        <f>IFERROR(__xludf.DUMMYFUNCTION("""COMPUTED_VALUE"""),290999.0)</f>
        <v>290999</v>
      </c>
      <c r="C85" s="11">
        <f>IFERROR(__xludf.DUMMYFUNCTION("""COMPUTED_VALUE"""),290625.0)</f>
        <v>290625</v>
      </c>
      <c r="D85" s="11">
        <f>IFERROR(__xludf.DUMMYFUNCTION("""COMPUTED_VALUE"""),298277.0)</f>
        <v>298277</v>
      </c>
      <c r="E85" s="11">
        <f>IFERROR(__xludf.DUMMYFUNCTION("""COMPUTED_VALUE"""),304788.0)</f>
        <v>304788</v>
      </c>
      <c r="F85" s="11">
        <f>IFERROR(__xludf.DUMMYFUNCTION("""COMPUTED_VALUE"""),287265.0)</f>
        <v>287265</v>
      </c>
      <c r="G85" s="11">
        <f>IFERROR(__xludf.DUMMYFUNCTION("""COMPUTED_VALUE"""),274796.0)</f>
        <v>274796</v>
      </c>
      <c r="H85" s="66"/>
      <c r="I85" s="11">
        <f>IFERROR(__xludf.DUMMYFUNCTION("""COMPUTED_VALUE"""),291158.0)</f>
        <v>291158</v>
      </c>
      <c r="J85" s="11">
        <f>IFERROR(__xludf.DUMMYFUNCTION("""COMPUTED_VALUE"""),316987.0)</f>
        <v>316987</v>
      </c>
      <c r="K85" s="11"/>
      <c r="L85" s="11"/>
      <c r="M85" s="11"/>
      <c r="N85" s="11"/>
      <c r="O85" s="77">
        <f>IFERROR(__xludf.DUMMYFUNCTION("""COMPUTED_VALUE"""),2354895.0)</f>
        <v>2354895</v>
      </c>
      <c r="P85" s="78">
        <f>IFERROR(__xludf.DUMMYFUNCTION("""COMPUTED_VALUE"""),0.7175338040524338)</f>
        <v>0.7175338041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11"/>
      <c r="D86" s="11"/>
      <c r="E86" s="11">
        <f>IFERROR(__xludf.DUMMYFUNCTION("""COMPUTED_VALUE"""),0.0)</f>
        <v>0</v>
      </c>
      <c r="F86" s="11">
        <f>IFERROR(__xludf.DUMMYFUNCTION("""COMPUTED_VALUE"""),0.0)</f>
        <v>0</v>
      </c>
      <c r="G86" s="11">
        <f>IFERROR(__xludf.DUMMYFUNCTION("""COMPUTED_VALUE"""),0.0)</f>
        <v>0</v>
      </c>
      <c r="H86" s="66"/>
      <c r="I86" s="11">
        <f>IFERROR(__xludf.DUMMYFUNCTION("""COMPUTED_VALUE"""),0.0)</f>
        <v>0</v>
      </c>
      <c r="J86" s="11">
        <f>IFERROR(__xludf.DUMMYFUNCTION("""COMPUTED_VALUE"""),0.0)</f>
        <v>0</v>
      </c>
      <c r="K86" s="11">
        <f>IFERROR(__xludf.DUMMYFUNCTION("""COMPUTED_VALUE"""),0.0)</f>
        <v>0</v>
      </c>
      <c r="L86" s="11">
        <f>IFERROR(__xludf.DUMMYFUNCTION("""COMPUTED_VALUE"""),0.0)</f>
        <v>0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77">
        <f>IFERROR(__xludf.DUMMYFUNCTION("""COMPUTED_VALUE"""),0.0)</f>
        <v>0</v>
      </c>
      <c r="P86" s="78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11"/>
      <c r="D87" s="11"/>
      <c r="E87" s="11">
        <f>IFERROR(__xludf.DUMMYFUNCTION("""COMPUTED_VALUE"""),0.0)</f>
        <v>0</v>
      </c>
      <c r="F87" s="11">
        <f>IFERROR(__xludf.DUMMYFUNCTION("""COMPUTED_VALUE"""),0.0)</f>
        <v>0</v>
      </c>
      <c r="G87" s="11">
        <f>IFERROR(__xludf.DUMMYFUNCTION("""COMPUTED_VALUE"""),0.0)</f>
        <v>0</v>
      </c>
      <c r="H87" s="66"/>
      <c r="I87" s="11">
        <f>IFERROR(__xludf.DUMMYFUNCTION("""COMPUTED_VALUE"""),0.0)</f>
        <v>0</v>
      </c>
      <c r="J87" s="11">
        <f>IFERROR(__xludf.DUMMYFUNCTION("""COMPUTED_VALUE"""),0.0)</f>
        <v>0</v>
      </c>
      <c r="K87" s="11">
        <f>IFERROR(__xludf.DUMMYFUNCTION("""COMPUTED_VALUE"""),0.0)</f>
        <v>0</v>
      </c>
      <c r="L87" s="11">
        <f>IFERROR(__xludf.DUMMYFUNCTION("""COMPUTED_VALUE"""),0.0)</f>
        <v>0</v>
      </c>
      <c r="M87" s="11">
        <f>IFERROR(__xludf.DUMMYFUNCTION("""COMPUTED_VALUE"""),0.0)</f>
        <v>0</v>
      </c>
      <c r="N87" s="11">
        <f>IFERROR(__xludf.DUMMYFUNCTION("""COMPUTED_VALUE"""),0.0)</f>
        <v>0</v>
      </c>
      <c r="O87" s="77">
        <f>IFERROR(__xludf.DUMMYFUNCTION("""COMPUTED_VALUE"""),0.0)</f>
        <v>0</v>
      </c>
      <c r="P87" s="78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67">
        <f>IFERROR(__xludf.DUMMYFUNCTION("""COMPUTED_VALUE"""),34078.0)</f>
        <v>34078</v>
      </c>
      <c r="C88" s="11">
        <f>IFERROR(__xludf.DUMMYFUNCTION("""COMPUTED_VALUE"""),34956.0)</f>
        <v>34956</v>
      </c>
      <c r="D88" s="11">
        <f>IFERROR(__xludf.DUMMYFUNCTION("""COMPUTED_VALUE"""),693000.0)</f>
        <v>693000</v>
      </c>
      <c r="E88" s="11">
        <f>IFERROR(__xludf.DUMMYFUNCTION("""COMPUTED_VALUE"""),33000.0)</f>
        <v>33000</v>
      </c>
      <c r="F88" s="11">
        <f>IFERROR(__xludf.DUMMYFUNCTION("""COMPUTED_VALUE"""),33000.0)</f>
        <v>33000</v>
      </c>
      <c r="G88" s="11">
        <f>IFERROR(__xludf.DUMMYFUNCTION("""COMPUTED_VALUE"""),33000.0)</f>
        <v>33000</v>
      </c>
      <c r="H88" s="66"/>
      <c r="I88" s="11">
        <f>IFERROR(__xludf.DUMMYFUNCTION("""COMPUTED_VALUE"""),33000.0)</f>
        <v>33000</v>
      </c>
      <c r="J88" s="11">
        <f>IFERROR(__xludf.DUMMYFUNCTION("""COMPUTED_VALUE"""),33000.0)</f>
        <v>33000</v>
      </c>
      <c r="K88" s="11">
        <f>IFERROR(__xludf.DUMMYFUNCTION("""COMPUTED_VALUE"""),0.0)</f>
        <v>0</v>
      </c>
      <c r="L88" s="11">
        <f>IFERROR(__xludf.DUMMYFUNCTION("""COMPUTED_VALUE"""),0.0)</f>
        <v>0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77">
        <f>IFERROR(__xludf.DUMMYFUNCTION("""COMPUTED_VALUE"""),927034.0)</f>
        <v>927034</v>
      </c>
      <c r="P88" s="78">
        <f>IFERROR(__xludf.DUMMYFUNCTION("""COMPUTED_VALUE"""),0.2824661959475662)</f>
        <v>0.2824661959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IFERROR(__xludf.DUMMYFUNCTION("""COMPUTED_VALUE"""),1056632.0)</f>
        <v>1056632</v>
      </c>
      <c r="C89" s="24">
        <f>IFERROR(__xludf.DUMMYFUNCTION("""COMPUTED_VALUE"""),1055288.0)</f>
        <v>1055288</v>
      </c>
      <c r="D89" s="24">
        <f>IFERROR(__xludf.DUMMYFUNCTION("""COMPUTED_VALUE"""),1058464.0)</f>
        <v>1058464</v>
      </c>
      <c r="E89" s="24">
        <f>IFERROR(__xludf.DUMMYFUNCTION("""COMPUTED_VALUE"""),1405020.0)</f>
        <v>1405020</v>
      </c>
      <c r="F89" s="24">
        <f>IFERROR(__xludf.DUMMYFUNCTION("""COMPUTED_VALUE"""),1060052.0)</f>
        <v>1060052</v>
      </c>
      <c r="G89" s="24">
        <f>IFERROR(__xludf.DUMMYFUNCTION("""COMPUTED_VALUE"""),1058842.0)</f>
        <v>1058842</v>
      </c>
      <c r="H89" s="24">
        <f>IFERROR(__xludf.DUMMYFUNCTION("""COMPUTED_VALUE"""),0.0)</f>
        <v>0</v>
      </c>
      <c r="I89" s="24">
        <f>IFERROR(__xludf.DUMMYFUNCTION("""COMPUTED_VALUE"""),1073132.0)</f>
        <v>1073132</v>
      </c>
      <c r="J89" s="24">
        <f>IFERROR(__xludf.DUMMYFUNCTION("""COMPUTED_VALUE"""),797888.0)</f>
        <v>797888</v>
      </c>
      <c r="K89" s="24">
        <f>IFERROR(__xludf.DUMMYFUNCTION("""COMPUTED_VALUE"""),0.0)</f>
        <v>0</v>
      </c>
      <c r="L89" s="24">
        <f>IFERROR(__xludf.DUMMYFUNCTION("""COMPUTED_VALUE"""),0.0)</f>
        <v>0</v>
      </c>
      <c r="M89" s="24">
        <f>IFERROR(__xludf.DUMMYFUNCTION("""COMPUTED_VALUE"""),0.0)</f>
        <v>0</v>
      </c>
      <c r="N89" s="24">
        <f>IFERROR(__xludf.DUMMYFUNCTION("""COMPUTED_VALUE"""),0.0)</f>
        <v>0</v>
      </c>
      <c r="O89" s="24">
        <f>IFERROR(__xludf.DUMMYFUNCTION("""COMPUTED_VALUE"""),8565318.0)</f>
        <v>8565318</v>
      </c>
      <c r="P89" s="16">
        <f>IFERROR(__xludf.DUMMYFUNCTION("""COMPUTED_VALUE"""),0.1081840953846657)</f>
        <v>0.1081840954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11"/>
      <c r="D90" s="11"/>
      <c r="E90" s="11">
        <f>IFERROR(__xludf.DUMMYFUNCTION("""COMPUTED_VALUE"""),0.0)</f>
        <v>0</v>
      </c>
      <c r="F90" s="11">
        <f>IFERROR(__xludf.DUMMYFUNCTION("""COMPUTED_VALUE"""),0.0)</f>
        <v>0</v>
      </c>
      <c r="G90" s="11">
        <f>IFERROR(__xludf.DUMMYFUNCTION("""COMPUTED_VALUE"""),0.0)</f>
        <v>0</v>
      </c>
      <c r="H90" s="66"/>
      <c r="I90" s="11">
        <f>IFERROR(__xludf.DUMMYFUNCTION("""COMPUTED_VALUE"""),0.0)</f>
        <v>0</v>
      </c>
      <c r="J90" s="11">
        <f>IFERROR(__xludf.DUMMYFUNCTION("""COMPUTED_VALUE"""),0.0)</f>
        <v>0</v>
      </c>
      <c r="K90" s="11"/>
      <c r="L90" s="11"/>
      <c r="M90" s="11"/>
      <c r="N90" s="11"/>
      <c r="O90" s="77">
        <f>IFERROR(__xludf.DUMMYFUNCTION("""COMPUTED_VALUE"""),0.0)</f>
        <v>0</v>
      </c>
      <c r="P90" s="78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67">
        <f>IFERROR(__xludf.DUMMYFUNCTION("""COMPUTED_VALUE"""),1056632.0)</f>
        <v>1056632</v>
      </c>
      <c r="C91" s="11">
        <f>IFERROR(__xludf.DUMMYFUNCTION("""COMPUTED_VALUE"""),1055288.0)</f>
        <v>1055288</v>
      </c>
      <c r="D91" s="11">
        <f>IFERROR(__xludf.DUMMYFUNCTION("""COMPUTED_VALUE"""),1058464.0)</f>
        <v>1058464</v>
      </c>
      <c r="E91" s="11">
        <f>IFERROR(__xludf.DUMMYFUNCTION("""COMPUTED_VALUE"""),1405020.0)</f>
        <v>1405020</v>
      </c>
      <c r="F91" s="11">
        <f>IFERROR(__xludf.DUMMYFUNCTION("""COMPUTED_VALUE"""),1060052.0)</f>
        <v>1060052</v>
      </c>
      <c r="G91" s="11">
        <f>IFERROR(__xludf.DUMMYFUNCTION("""COMPUTED_VALUE"""),1058842.0)</f>
        <v>1058842</v>
      </c>
      <c r="H91" s="66"/>
      <c r="I91" s="11">
        <f>IFERROR(__xludf.DUMMYFUNCTION("""COMPUTED_VALUE"""),1073132.0)</f>
        <v>1073132</v>
      </c>
      <c r="J91" s="11">
        <f>IFERROR(__xludf.DUMMYFUNCTION("""COMPUTED_VALUE"""),797888.0)</f>
        <v>797888</v>
      </c>
      <c r="K91" s="11"/>
      <c r="L91" s="11"/>
      <c r="M91" s="11"/>
      <c r="N91" s="11"/>
      <c r="O91" s="77">
        <f>IFERROR(__xludf.DUMMYFUNCTION("""COMPUTED_VALUE"""),8565318.0)</f>
        <v>8565318</v>
      </c>
      <c r="P91" s="78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11"/>
      <c r="D92" s="11"/>
      <c r="E92" s="11">
        <f>IFERROR(__xludf.DUMMYFUNCTION("""COMPUTED_VALUE"""),0.0)</f>
        <v>0</v>
      </c>
      <c r="F92" s="11">
        <f>IFERROR(__xludf.DUMMYFUNCTION("""COMPUTED_VALUE"""),0.0)</f>
        <v>0</v>
      </c>
      <c r="G92" s="11">
        <f>IFERROR(__xludf.DUMMYFUNCTION("""COMPUTED_VALUE"""),0.0)</f>
        <v>0</v>
      </c>
      <c r="H92" s="66"/>
      <c r="I92" s="11">
        <f>IFERROR(__xludf.DUMMYFUNCTION("""COMPUTED_VALUE"""),0.0)</f>
        <v>0</v>
      </c>
      <c r="J92" s="11">
        <f>IFERROR(__xludf.DUMMYFUNCTION("""COMPUTED_VALUE"""),0.0)</f>
        <v>0</v>
      </c>
      <c r="K92" s="11"/>
      <c r="L92" s="11"/>
      <c r="M92" s="11"/>
      <c r="N92" s="11"/>
      <c r="O92" s="24">
        <f>IFERROR(__xludf.DUMMYFUNCTION("""COMPUTED_VALUE"""),0.0)</f>
        <v>0</v>
      </c>
      <c r="P92" s="16">
        <f>IFERROR(__xludf.DUMMYFUNCTION("""COMPUTED_VALUE"""),0.0)</f>
        <v>0</v>
      </c>
      <c r="Q92" s="16"/>
    </row>
    <row r="93" ht="15.75" customHeight="1">
      <c r="A93" s="48" t="str">
        <f>IFERROR(__xludf.DUMMYFUNCTION("""COMPUTED_VALUE"""),"販売促進費")</f>
        <v>販売促進費</v>
      </c>
      <c r="B93" s="70"/>
      <c r="C93" s="11"/>
      <c r="D93" s="11">
        <f>IFERROR(__xludf.DUMMYFUNCTION("""COMPUTED_VALUE"""),35000.0)</f>
        <v>35000</v>
      </c>
      <c r="E93" s="11">
        <f>IFERROR(__xludf.DUMMYFUNCTION("""COMPUTED_VALUE"""),0.0)</f>
        <v>0</v>
      </c>
      <c r="F93" s="11">
        <f>IFERROR(__xludf.DUMMYFUNCTION("""COMPUTED_VALUE"""),0.0)</f>
        <v>0</v>
      </c>
      <c r="G93" s="11">
        <f>IFERROR(__xludf.DUMMYFUNCTION("""COMPUTED_VALUE"""),0.0)</f>
        <v>0</v>
      </c>
      <c r="H93" s="66"/>
      <c r="I93" s="11">
        <f>IFERROR(__xludf.DUMMYFUNCTION("""COMPUTED_VALUE"""),0.0)</f>
        <v>0</v>
      </c>
      <c r="J93" s="11">
        <f>IFERROR(__xludf.DUMMYFUNCTION("""COMPUTED_VALUE"""),0.0)</f>
        <v>0</v>
      </c>
      <c r="K93" s="11"/>
      <c r="L93" s="11"/>
      <c r="M93" s="11"/>
      <c r="N93" s="11"/>
      <c r="O93" s="24">
        <f>IFERROR(__xludf.DUMMYFUNCTION("""COMPUTED_VALUE"""),35000.0)</f>
        <v>35000</v>
      </c>
      <c r="P93" s="16">
        <f>IFERROR(__xludf.DUMMYFUNCTION("""COMPUTED_VALUE"""),4.4206687229397665E-4)</f>
        <v>0.0004420668723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20"/>
      <c r="D94" s="20"/>
      <c r="E94" s="20"/>
      <c r="F94" s="20"/>
      <c r="G94" s="20"/>
      <c r="H94" s="66"/>
      <c r="I94" s="20"/>
      <c r="J94" s="20"/>
      <c r="K94" s="20"/>
      <c r="L94" s="20"/>
      <c r="M94" s="20"/>
      <c r="N94" s="20"/>
      <c r="O94" s="24">
        <f>IFERROR(__xludf.DUMMYFUNCTION("""COMPUTED_VALUE"""),0.0)</f>
        <v>0</v>
      </c>
      <c r="P94" s="16">
        <f>IFERROR(__xludf.DUMMYFUNCTION("""COMPUTED_VALUE"""),0.0)</f>
        <v>0</v>
      </c>
      <c r="Q94" s="16"/>
    </row>
    <row r="95" ht="15.75" customHeight="1">
      <c r="A95" s="48"/>
      <c r="B95" s="55"/>
      <c r="C95" s="20"/>
      <c r="D95" s="20"/>
      <c r="E95" s="20"/>
      <c r="F95" s="20"/>
      <c r="G95" s="20"/>
      <c r="H95" s="66"/>
      <c r="I95" s="20"/>
      <c r="J95" s="20"/>
      <c r="K95" s="20"/>
      <c r="L95" s="20"/>
      <c r="M95" s="20"/>
      <c r="N95" s="20"/>
      <c r="O95" s="79"/>
      <c r="P95" s="16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 t="str">
        <f>IFERROR(__xludf.DUMMYFUNCTION("""COMPUTED_VALUE"""),"")</f>
        <v/>
      </c>
      <c r="C96" s="22" t="str">
        <f>IFERROR(__xludf.DUMMYFUNCTION("""COMPUTED_VALUE"""),"")</f>
        <v/>
      </c>
      <c r="D96" s="22" t="str">
        <f>IFERROR(__xludf.DUMMYFUNCTION("""COMPUTED_VALUE"""),"")</f>
        <v/>
      </c>
      <c r="E96" s="22" t="str">
        <f>IFERROR(__xludf.DUMMYFUNCTION("""COMPUTED_VALUE"""),"")</f>
        <v/>
      </c>
      <c r="F96" s="22" t="str">
        <f>IFERROR(__xludf.DUMMYFUNCTION("""COMPUTED_VALUE"""),"")</f>
        <v/>
      </c>
      <c r="G96" s="22" t="str">
        <f>IFERROR(__xludf.DUMMYFUNCTION("""COMPUTED_VALUE"""),"")</f>
        <v/>
      </c>
      <c r="H96" s="66"/>
      <c r="I96" s="22" t="str">
        <f>IFERROR(__xludf.DUMMYFUNCTION("""COMPUTED_VALUE"""),"")</f>
        <v/>
      </c>
      <c r="J96" s="22" t="str">
        <f>IFERROR(__xludf.DUMMYFUNCTION("""COMPUTED_VALUE"""),"")</f>
        <v/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22" t="str">
        <f>IFERROR(__xludf.DUMMYFUNCTION("""COMPUTED_VALUE"""),"")</f>
        <v/>
      </c>
      <c r="N96" s="22" t="str">
        <f>IFERROR(__xludf.DUMMYFUNCTION("""COMPUTED_VALUE"""),"")</f>
        <v/>
      </c>
      <c r="O96" s="22" t="str">
        <f>IFERROR(__xludf.DUMMYFUNCTION("""COMPUTED_VALUE"""),"")</f>
        <v/>
      </c>
      <c r="P96" s="22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 t="str">
        <f>IFERROR(__xludf.DUMMYFUNCTION("""COMPUTED_VALUE"""),"")</f>
        <v/>
      </c>
      <c r="C97" s="22" t="str">
        <f>IFERROR(__xludf.DUMMYFUNCTION("""COMPUTED_VALUE"""),"")</f>
        <v/>
      </c>
      <c r="D97" s="22" t="str">
        <f>IFERROR(__xludf.DUMMYFUNCTION("""COMPUTED_VALUE"""),"")</f>
        <v/>
      </c>
      <c r="E97" s="22" t="str">
        <f>IFERROR(__xludf.DUMMYFUNCTION("""COMPUTED_VALUE"""),"")</f>
        <v/>
      </c>
      <c r="F97" s="22" t="str">
        <f>IFERROR(__xludf.DUMMYFUNCTION("""COMPUTED_VALUE"""),"")</f>
        <v/>
      </c>
      <c r="G97" s="22" t="str">
        <f>IFERROR(__xludf.DUMMYFUNCTION("""COMPUTED_VALUE"""),"")</f>
        <v/>
      </c>
      <c r="H97" s="66"/>
      <c r="I97" s="22" t="str">
        <f>IFERROR(__xludf.DUMMYFUNCTION("""COMPUTED_VALUE"""),"")</f>
        <v/>
      </c>
      <c r="J97" s="22" t="str">
        <f>IFERROR(__xludf.DUMMYFUNCTION("""COMPUTED_VALUE"""),"")</f>
        <v/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22" t="str">
        <f>IFERROR(__xludf.DUMMYFUNCTION("""COMPUTED_VALUE"""),"")</f>
        <v/>
      </c>
      <c r="N97" s="22" t="str">
        <f>IFERROR(__xludf.DUMMYFUNCTION("""COMPUTED_VALUE"""),"")</f>
        <v/>
      </c>
      <c r="O97" s="22" t="str">
        <f>IFERROR(__xludf.DUMMYFUNCTION("""COMPUTED_VALUE"""),"")</f>
        <v/>
      </c>
      <c r="P97" s="22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IFERROR(__xludf.DUMMYFUNCTION("""COMPUTED_VALUE"""),-1013922.1818181819)</f>
        <v>-1013922.182</v>
      </c>
      <c r="C98" s="24">
        <f>IFERROR(__xludf.DUMMYFUNCTION("""COMPUTED_VALUE"""),-746576.1818181819)</f>
        <v>-746576.1818</v>
      </c>
      <c r="D98" s="24">
        <f>IFERROR(__xludf.DUMMYFUNCTION("""COMPUTED_VALUE"""),-649144.3636363636)</f>
        <v>-649144.3636</v>
      </c>
      <c r="E98" s="24">
        <f>IFERROR(__xludf.DUMMYFUNCTION("""COMPUTED_VALUE"""),-383328.09090909094)</f>
        <v>-383328.0909</v>
      </c>
      <c r="F98" s="24">
        <f>IFERROR(__xludf.DUMMYFUNCTION("""COMPUTED_VALUE"""),-457859.54545454547)</f>
        <v>-457859.5455</v>
      </c>
      <c r="G98" s="24">
        <f>IFERROR(__xludf.DUMMYFUNCTION("""COMPUTED_VALUE"""),-492838.8181818182)</f>
        <v>-492838.8182</v>
      </c>
      <c r="H98" s="24"/>
      <c r="I98" s="24">
        <f>IFERROR(__xludf.DUMMYFUNCTION("""COMPUTED_VALUE"""),-675339.3636363636)</f>
        <v>-675339.3636</v>
      </c>
      <c r="J98" s="24">
        <f>IFERROR(__xludf.DUMMYFUNCTION("""COMPUTED_VALUE"""),-733454.6363636364)</f>
        <v>-733454.6364</v>
      </c>
      <c r="K98" s="24">
        <f>IFERROR(__xludf.DUMMYFUNCTION("""COMPUTED_VALUE"""),0.0)</f>
        <v>0</v>
      </c>
      <c r="L98" s="24">
        <f>IFERROR(__xludf.DUMMYFUNCTION("""COMPUTED_VALUE"""),0.0)</f>
        <v>0</v>
      </c>
      <c r="M98" s="24">
        <f>IFERROR(__xludf.DUMMYFUNCTION("""COMPUTED_VALUE"""),0.0)</f>
        <v>0</v>
      </c>
      <c r="N98" s="24">
        <f>IFERROR(__xludf.DUMMYFUNCTION("""COMPUTED_VALUE"""),0.0)</f>
        <v>0</v>
      </c>
      <c r="O98" s="24">
        <f>IFERROR(__xludf.DUMMYFUNCTION("""COMPUTED_VALUE"""),-5152463.181818182)</f>
        <v>-5152463.182</v>
      </c>
      <c r="P98" s="16"/>
      <c r="Q98" s="16"/>
    </row>
    <row r="99" ht="15.75" customHeight="1">
      <c r="A99" s="48"/>
      <c r="B99" s="46"/>
      <c r="C99" s="24"/>
      <c r="D99" s="24"/>
      <c r="E99" s="24"/>
      <c r="F99" s="24"/>
      <c r="G99" s="24"/>
      <c r="H99" s="66"/>
      <c r="I99" s="24"/>
      <c r="J99" s="24"/>
      <c r="K99" s="24"/>
      <c r="L99" s="24"/>
      <c r="M99" s="24"/>
      <c r="N99" s="24"/>
      <c r="O99" s="24"/>
      <c r="P99" s="16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IFERROR(__xludf.DUMMYFUNCTION("""COMPUTED_VALUE"""),-1.3548808818181818E7)</f>
        <v>-13548808.82</v>
      </c>
      <c r="C100" s="80">
        <f>IFERROR(__xludf.DUMMYFUNCTION("""COMPUTED_VALUE"""),-1.0919396818181818E7)</f>
        <v>-10919396.82</v>
      </c>
      <c r="D100" s="80">
        <f>IFERROR(__xludf.DUMMYFUNCTION("""COMPUTED_VALUE"""),-1.2150602636363637E7)</f>
        <v>-12150602.64</v>
      </c>
      <c r="E100" s="80">
        <f>IFERROR(__xludf.DUMMYFUNCTION("""COMPUTED_VALUE"""),-7257362.909090909)</f>
        <v>-7257362.909</v>
      </c>
      <c r="F100" s="80">
        <f>IFERROR(__xludf.DUMMYFUNCTION("""COMPUTED_VALUE"""),-7526872.454545454)</f>
        <v>-7526872.455</v>
      </c>
      <c r="G100" s="80">
        <f>IFERROR(__xludf.DUMMYFUNCTION("""COMPUTED_VALUE"""),-7777175.181818182)</f>
        <v>-7777175.182</v>
      </c>
      <c r="H100" s="66"/>
      <c r="I100" s="80">
        <f>IFERROR(__xludf.DUMMYFUNCTION("""COMPUTED_VALUE"""),-9729370.636363637)</f>
        <v>-9729370.636</v>
      </c>
      <c r="J100" s="80">
        <f>IFERROR(__xludf.DUMMYFUNCTION("""COMPUTED_VALUE"""),-1.0263952363636363E7)</f>
        <v>-10263952.36</v>
      </c>
      <c r="K100" s="80">
        <f>IFERROR(__xludf.DUMMYFUNCTION("""COMPUTED_VALUE"""),0.0)</f>
        <v>0</v>
      </c>
      <c r="L100" s="80">
        <f>IFERROR(__xludf.DUMMYFUNCTION("""COMPUTED_VALUE"""),0.0)</f>
        <v>0</v>
      </c>
      <c r="M100" s="80">
        <f>IFERROR(__xludf.DUMMYFUNCTION("""COMPUTED_VALUE"""),0.0)</f>
        <v>0</v>
      </c>
      <c r="N100" s="80">
        <f>IFERROR(__xludf.DUMMYFUNCTION("""COMPUTED_VALUE"""),0.0)</f>
        <v>0</v>
      </c>
      <c r="O100" s="80">
        <f>IFERROR(__xludf.DUMMYFUNCTION("""COMPUTED_VALUE"""),-7.917354181818181E7)</f>
        <v>-79173541.82</v>
      </c>
      <c r="P100" s="22" t="str">
        <f>IFERROR(__xludf.DUMMYFUNCTION("""COMPUTED_VALUE"""),"")</f>
        <v/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24">
        <f>IFERROR(__xludf.DUMMYFUNCTION("""COMPUTED_VALUE"""),0.0)</f>
        <v>0</v>
      </c>
      <c r="D101" s="24">
        <f>IFERROR(__xludf.DUMMYFUNCTION("""COMPUTED_VALUE"""),0.0)</f>
        <v>0</v>
      </c>
      <c r="E101" s="24">
        <f>IFERROR(__xludf.DUMMYFUNCTION("""COMPUTED_VALUE"""),36400.0)</f>
        <v>36400</v>
      </c>
      <c r="F101" s="24">
        <f>IFERROR(__xludf.DUMMYFUNCTION("""COMPUTED_VALUE"""),15666.0)</f>
        <v>15666</v>
      </c>
      <c r="G101" s="24">
        <f>IFERROR(__xludf.DUMMYFUNCTION("""COMPUTED_VALUE"""),111.0)</f>
        <v>111</v>
      </c>
      <c r="H101" s="66"/>
      <c r="I101" s="24">
        <f>IFERROR(__xludf.DUMMYFUNCTION("""COMPUTED_VALUE"""),0.0)</f>
        <v>0</v>
      </c>
      <c r="J101" s="24">
        <f>IFERROR(__xludf.DUMMYFUNCTION("""COMPUTED_VALUE"""),0.0)</f>
        <v>0</v>
      </c>
      <c r="K101" s="24">
        <f>IFERROR(__xludf.DUMMYFUNCTION("""COMPUTED_VALUE"""),0.0)</f>
        <v>0</v>
      </c>
      <c r="L101" s="24">
        <f>IFERROR(__xludf.DUMMYFUNCTION("""COMPUTED_VALUE"""),0.0)</f>
        <v>0</v>
      </c>
      <c r="M101" s="24">
        <f>IFERROR(__xludf.DUMMYFUNCTION("""COMPUTED_VALUE"""),0.0)</f>
        <v>0</v>
      </c>
      <c r="N101" s="24">
        <f>IFERROR(__xludf.DUMMYFUNCTION("""COMPUTED_VALUE"""),0.0)</f>
        <v>0</v>
      </c>
      <c r="O101" s="24">
        <f>IFERROR(__xludf.DUMMYFUNCTION("""COMPUTED_VALUE"""),52177.0)</f>
        <v>52177</v>
      </c>
      <c r="P101" s="16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11"/>
      <c r="D102" s="11"/>
      <c r="E102" s="11"/>
      <c r="F102" s="11">
        <f>IFERROR(__xludf.DUMMYFUNCTION("""COMPUTED_VALUE"""),2266.0)</f>
        <v>2266</v>
      </c>
      <c r="G102" s="11">
        <f>IFERROR(__xludf.DUMMYFUNCTION("""COMPUTED_VALUE"""),111.0)</f>
        <v>111</v>
      </c>
      <c r="H102" s="66"/>
      <c r="I102" s="11"/>
      <c r="J102" s="11"/>
      <c r="K102" s="11"/>
      <c r="L102" s="11"/>
      <c r="M102" s="11"/>
      <c r="N102" s="11"/>
      <c r="O102" s="77">
        <f>IFERROR(__xludf.DUMMYFUNCTION("""COMPUTED_VALUE"""),2377.0)</f>
        <v>2377</v>
      </c>
      <c r="P102" s="78">
        <f>IFERROR(__xludf.DUMMYFUNCTION("""COMPUTED_VALUE"""),0.045556471242118174)</f>
        <v>0.04555647124</v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11"/>
      <c r="D103" s="11"/>
      <c r="E103" s="11"/>
      <c r="F103" s="11">
        <f>IFERROR(__xludf.DUMMYFUNCTION("""COMPUTED_VALUE"""),0.0)</f>
        <v>0</v>
      </c>
      <c r="G103" s="11"/>
      <c r="H103" s="66"/>
      <c r="I103" s="11"/>
      <c r="J103" s="11"/>
      <c r="K103" s="11"/>
      <c r="L103" s="11"/>
      <c r="M103" s="11"/>
      <c r="N103" s="11"/>
      <c r="O103" s="77">
        <f>IFERROR(__xludf.DUMMYFUNCTION("""COMPUTED_VALUE"""),0.0)</f>
        <v>0</v>
      </c>
      <c r="P103" s="78">
        <f>IFERROR(__xludf.DUMMYFUNCTION("""COMPUTED_VALUE"""),0.0)</f>
        <v>0</v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11"/>
      <c r="D104" s="11"/>
      <c r="E104" s="11">
        <f>IFERROR(__xludf.DUMMYFUNCTION("""COMPUTED_VALUE"""),36400.0)</f>
        <v>36400</v>
      </c>
      <c r="F104" s="11">
        <f>IFERROR(__xludf.DUMMYFUNCTION("""COMPUTED_VALUE"""),13400.0)</f>
        <v>13400</v>
      </c>
      <c r="G104" s="11"/>
      <c r="H104" s="66"/>
      <c r="I104" s="11"/>
      <c r="J104" s="11"/>
      <c r="K104" s="11"/>
      <c r="L104" s="11"/>
      <c r="M104" s="11"/>
      <c r="N104" s="11"/>
      <c r="O104" s="77">
        <f>IFERROR(__xludf.DUMMYFUNCTION("""COMPUTED_VALUE"""),49800.0)</f>
        <v>49800</v>
      </c>
      <c r="P104" s="78">
        <f>IFERROR(__xludf.DUMMYFUNCTION("""COMPUTED_VALUE"""),0.9544435287578819)</f>
        <v>0.9544435288</v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IFERROR(__xludf.DUMMYFUNCTION("""COMPUTED_VALUE"""),22294.0)</f>
        <v>22294</v>
      </c>
      <c r="C105" s="24">
        <f>IFERROR(__xludf.DUMMYFUNCTION("""COMPUTED_VALUE"""),21035.0)</f>
        <v>21035</v>
      </c>
      <c r="D105" s="24">
        <f>IFERROR(__xludf.DUMMYFUNCTION("""COMPUTED_VALUE"""),21179.0)</f>
        <v>21179</v>
      </c>
      <c r="E105" s="24">
        <f>IFERROR(__xludf.DUMMYFUNCTION("""COMPUTED_VALUE"""),19957.0)</f>
        <v>19957</v>
      </c>
      <c r="F105" s="24">
        <f>IFERROR(__xludf.DUMMYFUNCTION("""COMPUTED_VALUE"""),20065.0)</f>
        <v>20065</v>
      </c>
      <c r="G105" s="24">
        <f>IFERROR(__xludf.DUMMYFUNCTION("""COMPUTED_VALUE"""),20607.0)</f>
        <v>20607</v>
      </c>
      <c r="H105" s="66"/>
      <c r="I105" s="24">
        <f>IFERROR(__xludf.DUMMYFUNCTION("""COMPUTED_VALUE"""),18339.0)</f>
        <v>18339</v>
      </c>
      <c r="J105" s="24">
        <f>IFERROR(__xludf.DUMMYFUNCTION("""COMPUTED_VALUE"""),18392.0)</f>
        <v>18392</v>
      </c>
      <c r="K105" s="24">
        <f>IFERROR(__xludf.DUMMYFUNCTION("""COMPUTED_VALUE"""),0.0)</f>
        <v>0</v>
      </c>
      <c r="L105" s="24">
        <f>IFERROR(__xludf.DUMMYFUNCTION("""COMPUTED_VALUE"""),0.0)</f>
        <v>0</v>
      </c>
      <c r="M105" s="24">
        <f>IFERROR(__xludf.DUMMYFUNCTION("""COMPUTED_VALUE"""),0.0)</f>
        <v>0</v>
      </c>
      <c r="N105" s="24">
        <f>IFERROR(__xludf.DUMMYFUNCTION("""COMPUTED_VALUE"""),0.0)</f>
        <v>0</v>
      </c>
      <c r="O105" s="24">
        <f>IFERROR(__xludf.DUMMYFUNCTION("""COMPUTED_VALUE"""),161868.0)</f>
        <v>161868</v>
      </c>
      <c r="P105" s="16"/>
      <c r="Q105" s="16"/>
    </row>
    <row r="106" ht="15.75" customHeight="1">
      <c r="A106" s="51" t="str">
        <f>IFERROR(__xludf.DUMMYFUNCTION("""COMPUTED_VALUE"""),"支払利息")</f>
        <v>支払利息</v>
      </c>
      <c r="B106" s="68">
        <f>IFERROR(__xludf.DUMMYFUNCTION("""COMPUTED_VALUE"""),22294.0)</f>
        <v>22294</v>
      </c>
      <c r="C106" s="11">
        <f>IFERROR(__xludf.DUMMYFUNCTION("""COMPUTED_VALUE"""),21035.0)</f>
        <v>21035</v>
      </c>
      <c r="D106" s="11">
        <f>IFERROR(__xludf.DUMMYFUNCTION("""COMPUTED_VALUE"""),21179.0)</f>
        <v>21179</v>
      </c>
      <c r="E106" s="11">
        <f>IFERROR(__xludf.DUMMYFUNCTION("""COMPUTED_VALUE"""),19957.0)</f>
        <v>19957</v>
      </c>
      <c r="F106" s="11">
        <f>IFERROR(__xludf.DUMMYFUNCTION("""COMPUTED_VALUE"""),20065.0)</f>
        <v>20065</v>
      </c>
      <c r="G106" s="11">
        <f>IFERROR(__xludf.DUMMYFUNCTION("""COMPUTED_VALUE"""),19507.0)</f>
        <v>19507</v>
      </c>
      <c r="H106" s="66"/>
      <c r="I106" s="11">
        <f>IFERROR(__xludf.DUMMYFUNCTION("""COMPUTED_VALUE"""),18339.0)</f>
        <v>18339</v>
      </c>
      <c r="J106" s="11">
        <f>IFERROR(__xludf.DUMMYFUNCTION("""COMPUTED_VALUE"""),18392.0)</f>
        <v>18392</v>
      </c>
      <c r="K106" s="11"/>
      <c r="L106" s="11"/>
      <c r="M106" s="11"/>
      <c r="N106" s="11"/>
      <c r="O106" s="77">
        <f>IFERROR(__xludf.DUMMYFUNCTION("""COMPUTED_VALUE"""),160768.0)</f>
        <v>160768</v>
      </c>
      <c r="P106" s="78">
        <f>IFERROR(__xludf.DUMMYFUNCTION("""COMPUTED_VALUE"""),0.9932043393382262)</f>
        <v>0.9932043393</v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11"/>
      <c r="D107" s="11"/>
      <c r="E107" s="11"/>
      <c r="F107" s="11"/>
      <c r="G107" s="11">
        <f>IFERROR(__xludf.DUMMYFUNCTION("""COMPUTED_VALUE"""),1100.0)</f>
        <v>1100</v>
      </c>
      <c r="H107" s="66"/>
      <c r="I107" s="11"/>
      <c r="J107" s="11">
        <f>IFERROR(__xludf.DUMMYFUNCTION("""COMPUTED_VALUE"""),0.0)</f>
        <v>0</v>
      </c>
      <c r="K107" s="11"/>
      <c r="L107" s="11"/>
      <c r="M107" s="11"/>
      <c r="N107" s="11"/>
      <c r="O107" s="77">
        <f>IFERROR(__xludf.DUMMYFUNCTION("""COMPUTED_VALUE"""),1100.0)</f>
        <v>1100</v>
      </c>
      <c r="P107" s="78">
        <f>IFERROR(__xludf.DUMMYFUNCTION("""COMPUTED_VALUE"""),0.006795660661773791)</f>
        <v>0.006795660662</v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IFERROR(__xludf.DUMMYFUNCTION("""COMPUTED_VALUE"""),-1.3571102818181818E7)</f>
        <v>-13571102.82</v>
      </c>
      <c r="C108" s="80">
        <f>IFERROR(__xludf.DUMMYFUNCTION("""COMPUTED_VALUE"""),-1.0940431818181818E7)</f>
        <v>-10940431.82</v>
      </c>
      <c r="D108" s="80">
        <f>IFERROR(__xludf.DUMMYFUNCTION("""COMPUTED_VALUE"""),-1.2171781636363637E7)</f>
        <v>-12171781.64</v>
      </c>
      <c r="E108" s="80">
        <f>IFERROR(__xludf.DUMMYFUNCTION("""COMPUTED_VALUE"""),-7240919.909090909)</f>
        <v>-7240919.909</v>
      </c>
      <c r="F108" s="80">
        <f>IFERROR(__xludf.DUMMYFUNCTION("""COMPUTED_VALUE"""),-7531271.454545454)</f>
        <v>-7531271.455</v>
      </c>
      <c r="G108" s="80">
        <f>IFERROR(__xludf.DUMMYFUNCTION("""COMPUTED_VALUE"""),-7797671.181818182)</f>
        <v>-7797671.182</v>
      </c>
      <c r="H108" s="66"/>
      <c r="I108" s="80">
        <f>IFERROR(__xludf.DUMMYFUNCTION("""COMPUTED_VALUE"""),-9747709.636363637)</f>
        <v>-9747709.636</v>
      </c>
      <c r="J108" s="80">
        <f>IFERROR(__xludf.DUMMYFUNCTION("""COMPUTED_VALUE"""),-1.0282344363636363E7)</f>
        <v>-10282344.36</v>
      </c>
      <c r="K108" s="80">
        <f>IFERROR(__xludf.DUMMYFUNCTION("""COMPUTED_VALUE"""),0.0)</f>
        <v>0</v>
      </c>
      <c r="L108" s="80">
        <f>IFERROR(__xludf.DUMMYFUNCTION("""COMPUTED_VALUE"""),0.0)</f>
        <v>0</v>
      </c>
      <c r="M108" s="80">
        <f>IFERROR(__xludf.DUMMYFUNCTION("""COMPUTED_VALUE"""),0.0)</f>
        <v>0</v>
      </c>
      <c r="N108" s="80">
        <f>IFERROR(__xludf.DUMMYFUNCTION("""COMPUTED_VALUE"""),0.0)</f>
        <v>0</v>
      </c>
      <c r="O108" s="80">
        <f>IFERROR(__xludf.DUMMYFUNCTION("""COMPUTED_VALUE"""),-7.928323281818181E7)</f>
        <v>-79283232.82</v>
      </c>
      <c r="P108" s="22" t="str">
        <f>IFERROR(__xludf.DUMMYFUNCTION("""COMPUTED_VALUE"""),"")</f>
        <v/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IFERROR(__xludf.DUMMYFUNCTION("""COMPUTED_VALUE"""),-5428441.127272728)</f>
        <v>-5428441.127</v>
      </c>
      <c r="C109" s="24">
        <f>IFERROR(__xludf.DUMMYFUNCTION("""COMPUTED_VALUE"""),-4376172.7272727275)</f>
        <v>-4376172.727</v>
      </c>
      <c r="D109" s="24">
        <f>IFERROR(__xludf.DUMMYFUNCTION("""COMPUTED_VALUE"""),-4868712.654545455)</f>
        <v>-4868712.655</v>
      </c>
      <c r="E109" s="24">
        <f>IFERROR(__xludf.DUMMYFUNCTION("""COMPUTED_VALUE"""),-2896367.963636364)</f>
        <v>-2896367.964</v>
      </c>
      <c r="F109" s="24">
        <f>IFERROR(__xludf.DUMMYFUNCTION("""COMPUTED_VALUE"""),-3012508.581818182)</f>
        <v>-3012508.582</v>
      </c>
      <c r="G109" s="24">
        <f>IFERROR(__xludf.DUMMYFUNCTION("""COMPUTED_VALUE"""),-3119068.4727272727)</f>
        <v>-3119068.473</v>
      </c>
      <c r="H109" s="66"/>
      <c r="I109" s="24">
        <f>IFERROR(__xludf.DUMMYFUNCTION("""COMPUTED_VALUE"""),-3899083.854545455)</f>
        <v>-3899083.855</v>
      </c>
      <c r="J109" s="24">
        <f>IFERROR(__xludf.DUMMYFUNCTION("""COMPUTED_VALUE"""),-4112937.7454545456)</f>
        <v>-4112937.745</v>
      </c>
      <c r="K109" s="24">
        <f>IFERROR(__xludf.DUMMYFUNCTION("""COMPUTED_VALUE"""),0.0)</f>
        <v>0</v>
      </c>
      <c r="L109" s="24">
        <f>IFERROR(__xludf.DUMMYFUNCTION("""COMPUTED_VALUE"""),0.0)</f>
        <v>0</v>
      </c>
      <c r="M109" s="24">
        <f>IFERROR(__xludf.DUMMYFUNCTION("""COMPUTED_VALUE"""),0.0)</f>
        <v>0</v>
      </c>
      <c r="N109" s="24">
        <f>IFERROR(__xludf.DUMMYFUNCTION("""COMPUTED_VALUE"""),0.0)</f>
        <v>0</v>
      </c>
      <c r="O109" s="24">
        <f>IFERROR(__xludf.DUMMYFUNCTION("""COMPUTED_VALUE"""),-3.1713293127272733E7)</f>
        <v>-31713293.13</v>
      </c>
      <c r="P109" s="16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IFERROR(__xludf.DUMMYFUNCTION("""COMPUTED_VALUE"""),-8142661.69090909)</f>
        <v>-8142661.691</v>
      </c>
      <c r="C110" s="80">
        <f>IFERROR(__xludf.DUMMYFUNCTION("""COMPUTED_VALUE"""),-6564259.090909091)</f>
        <v>-6564259.091</v>
      </c>
      <c r="D110" s="80">
        <f>IFERROR(__xludf.DUMMYFUNCTION("""COMPUTED_VALUE"""),-7303068.981818181)</f>
        <v>-7303068.982</v>
      </c>
      <c r="E110" s="80">
        <f>IFERROR(__xludf.DUMMYFUNCTION("""COMPUTED_VALUE"""),-4344551.945454545)</f>
        <v>-4344551.945</v>
      </c>
      <c r="F110" s="80">
        <f>IFERROR(__xludf.DUMMYFUNCTION("""COMPUTED_VALUE"""),-4518762.872727272)</f>
        <v>-4518762.873</v>
      </c>
      <c r="G110" s="80">
        <f>IFERROR(__xludf.DUMMYFUNCTION("""COMPUTED_VALUE"""),-4678602.709090909)</f>
        <v>-4678602.709</v>
      </c>
      <c r="H110" s="66"/>
      <c r="I110" s="80">
        <f>IFERROR(__xludf.DUMMYFUNCTION("""COMPUTED_VALUE"""),-5848625.781818181)</f>
        <v>-5848625.782</v>
      </c>
      <c r="J110" s="80">
        <f>IFERROR(__xludf.DUMMYFUNCTION("""COMPUTED_VALUE"""),-6169406.618181817)</f>
        <v>-6169406.618</v>
      </c>
      <c r="K110" s="80">
        <f>IFERROR(__xludf.DUMMYFUNCTION("""COMPUTED_VALUE"""),0.0)</f>
        <v>0</v>
      </c>
      <c r="L110" s="80">
        <f>IFERROR(__xludf.DUMMYFUNCTION("""COMPUTED_VALUE"""),0.0)</f>
        <v>0</v>
      </c>
      <c r="M110" s="80">
        <f>IFERROR(__xludf.DUMMYFUNCTION("""COMPUTED_VALUE"""),0.0)</f>
        <v>0</v>
      </c>
      <c r="N110" s="80">
        <f>IFERROR(__xludf.DUMMYFUNCTION("""COMPUTED_VALUE"""),0.0)</f>
        <v>0</v>
      </c>
      <c r="O110" s="80">
        <f>IFERROR(__xludf.DUMMYFUNCTION("""COMPUTED_VALUE"""),-4.756993969090909E7)</f>
        <v>-47569939.69</v>
      </c>
      <c r="P110" s="22" t="str">
        <f>IFERROR(__xludf.DUMMYFUNCTION("""COMPUTED_VALUE"""),"")</f>
        <v/>
      </c>
      <c r="Q110" s="16"/>
    </row>
    <row r="111" ht="15.75" customHeight="1">
      <c r="A111" s="48"/>
      <c r="B111" s="46"/>
      <c r="C111" s="24"/>
      <c r="D111" s="24"/>
      <c r="E111" s="24"/>
      <c r="F111" s="24"/>
      <c r="G111" s="24"/>
      <c r="H111" s="66"/>
      <c r="I111" s="24"/>
      <c r="J111" s="24"/>
      <c r="K111" s="24"/>
      <c r="L111" s="24"/>
      <c r="M111" s="24"/>
      <c r="N111" s="24"/>
      <c r="O111" s="24"/>
      <c r="P111" s="16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IFERROR(__xludf.DUMMYFUNCTION("""COMPUTED_VALUE"""),-3871088.233766234)</f>
        <v>-3871088.234</v>
      </c>
      <c r="C112" s="80">
        <f>IFERROR(__xludf.DUMMYFUNCTION("""COMPUTED_VALUE"""),-3119827.662337662)</f>
        <v>-3119827.662</v>
      </c>
      <c r="D112" s="80">
        <f>IFERROR(__xludf.DUMMYFUNCTION("""COMPUTED_VALUE"""),-2700133.9191919193)</f>
        <v>-2700133.919</v>
      </c>
      <c r="E112" s="80">
        <f>IFERROR(__xludf.DUMMYFUNCTION("""COMPUTED_VALUE"""),-1612747.313131313)</f>
        <v>-1612747.313</v>
      </c>
      <c r="F112" s="80">
        <f>IFERROR(__xludf.DUMMYFUNCTION("""COMPUTED_VALUE"""),-2150534.987012987)</f>
        <v>-2150534.987</v>
      </c>
      <c r="G112" s="80">
        <f>IFERROR(__xludf.DUMMYFUNCTION("""COMPUTED_VALUE"""),-2222050.051948052)</f>
        <v>-2222050.052</v>
      </c>
      <c r="H112" s="66"/>
      <c r="I112" s="80">
        <f>IFERROR(__xludf.DUMMYFUNCTION("""COMPUTED_VALUE"""),-2779820.181818182)</f>
        <v>-2779820.182</v>
      </c>
      <c r="J112" s="80">
        <f>IFERROR(__xludf.DUMMYFUNCTION("""COMPUTED_VALUE"""),-2932557.818181818)</f>
        <v>-2932557.818</v>
      </c>
      <c r="K112" s="80" t="str">
        <f>IFERROR(__xludf.DUMMYFUNCTION("""COMPUTED_VALUE"""),"")</f>
        <v/>
      </c>
      <c r="L112" s="80" t="str">
        <f>IFERROR(__xludf.DUMMYFUNCTION("""COMPUTED_VALUE"""),"")</f>
        <v/>
      </c>
      <c r="M112" s="80" t="str">
        <f>IFERROR(__xludf.DUMMYFUNCTION("""COMPUTED_VALUE"""),"")</f>
        <v/>
      </c>
      <c r="N112" s="80" t="str">
        <f>IFERROR(__xludf.DUMMYFUNCTION("""COMPUTED_VALUE"""),"")</f>
        <v/>
      </c>
      <c r="O112" s="80">
        <f>IFERROR(__xludf.DUMMYFUNCTION("""COMPUTED_VALUE"""),-2639118.0606060605)</f>
        <v>-2639118.061</v>
      </c>
      <c r="P112" s="22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IFERROR(__xludf.DUMMYFUNCTION("""COMPUTED_VALUE"""),3.5)</f>
        <v>3.5</v>
      </c>
      <c r="C113" s="81">
        <f>IFERROR(__xludf.DUMMYFUNCTION("""COMPUTED_VALUE"""),3.5)</f>
        <v>3.5</v>
      </c>
      <c r="D113" s="81">
        <f>IFERROR(__xludf.DUMMYFUNCTION("""COMPUTED_VALUE"""),4.5)</f>
        <v>4.5</v>
      </c>
      <c r="E113" s="81">
        <f>IFERROR(__xludf.DUMMYFUNCTION("""COMPUTED_VALUE"""),4.5)</f>
        <v>4.5</v>
      </c>
      <c r="F113" s="81">
        <f>IFERROR(__xludf.DUMMYFUNCTION("""COMPUTED_VALUE"""),3.5)</f>
        <v>3.5</v>
      </c>
      <c r="G113" s="81">
        <f>IFERROR(__xludf.DUMMYFUNCTION("""COMPUTED_VALUE"""),3.5)</f>
        <v>3.5</v>
      </c>
      <c r="H113" s="82"/>
      <c r="I113" s="81">
        <f>IFERROR(__xludf.DUMMYFUNCTION("""COMPUTED_VALUE"""),3.5)</f>
        <v>3.5</v>
      </c>
      <c r="J113" s="81">
        <f>IFERROR(__xludf.DUMMYFUNCTION("""COMPUTED_VALUE"""),3.5)</f>
        <v>3.5</v>
      </c>
      <c r="K113" s="81"/>
      <c r="L113" s="81"/>
      <c r="M113" s="81"/>
      <c r="N113" s="81"/>
      <c r="O113" s="79">
        <f>IFERROR(__xludf.DUMMYFUNCTION("""COMPUTED_VALUE"""),30.0)</f>
        <v>30</v>
      </c>
      <c r="P113" s="16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IFERROR(__xludf.DUMMYFUNCTION("""COMPUTED_VALUE"""),2.0)</f>
        <v>2</v>
      </c>
      <c r="C114" s="81">
        <f>IFERROR(__xludf.DUMMYFUNCTION("""COMPUTED_VALUE"""),2.0)</f>
        <v>2</v>
      </c>
      <c r="D114" s="81">
        <f>IFERROR(__xludf.DUMMYFUNCTION("""COMPUTED_VALUE"""),2.0)</f>
        <v>2</v>
      </c>
      <c r="E114" s="81">
        <f>IFERROR(__xludf.DUMMYFUNCTION("""COMPUTED_VALUE"""),2.0)</f>
        <v>2</v>
      </c>
      <c r="F114" s="81">
        <f>IFERROR(__xludf.DUMMYFUNCTION("""COMPUTED_VALUE"""),2.0)</f>
        <v>2</v>
      </c>
      <c r="G114" s="81">
        <f>IFERROR(__xludf.DUMMYFUNCTION("""COMPUTED_VALUE"""),2.0)</f>
        <v>2</v>
      </c>
      <c r="H114" s="82"/>
      <c r="I114" s="81">
        <f>IFERROR(__xludf.DUMMYFUNCTION("""COMPUTED_VALUE"""),2.0)</f>
        <v>2</v>
      </c>
      <c r="J114" s="81">
        <f>IFERROR(__xludf.DUMMYFUNCTION("""COMPUTED_VALUE"""),2.0)</f>
        <v>2</v>
      </c>
      <c r="K114" s="81"/>
      <c r="L114" s="81"/>
      <c r="M114" s="81"/>
      <c r="N114" s="81"/>
      <c r="O114" s="79">
        <f>IFERROR(__xludf.DUMMYFUNCTION("""COMPUTED_VALUE"""),16.0)</f>
        <v>16</v>
      </c>
      <c r="P114" s="16"/>
      <c r="Q114" s="16"/>
    </row>
    <row r="115" ht="15.75" customHeight="1">
      <c r="A115" s="48"/>
      <c r="B115" s="48"/>
      <c r="C115" s="3"/>
      <c r="D115" s="3"/>
      <c r="E115" s="3"/>
      <c r="F115" s="3"/>
      <c r="G115" s="3"/>
      <c r="H115" s="66"/>
      <c r="I115" s="3"/>
      <c r="J115" s="3"/>
      <c r="K115" s="3"/>
      <c r="L115" s="3"/>
      <c r="M115" s="3"/>
      <c r="N115" s="3"/>
      <c r="O115" s="79"/>
      <c r="P115" s="16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IFERROR(__xludf.DUMMYFUNCTION("""COMPUTED_VALUE"""),-1.3548808818181818E7)</f>
        <v>-13548808.82</v>
      </c>
      <c r="C116" s="80">
        <f>IFERROR(__xludf.DUMMYFUNCTION("""COMPUTED_VALUE"""),-1.0919396818181818E7)</f>
        <v>-10919396.82</v>
      </c>
      <c r="D116" s="80">
        <f>IFERROR(__xludf.DUMMYFUNCTION("""COMPUTED_VALUE"""),-1.2150602636363637E7)</f>
        <v>-12150602.64</v>
      </c>
      <c r="E116" s="80">
        <f>IFERROR(__xludf.DUMMYFUNCTION("""COMPUTED_VALUE"""),-7257362.909090909)</f>
        <v>-7257362.909</v>
      </c>
      <c r="F116" s="80">
        <f>IFERROR(__xludf.DUMMYFUNCTION("""COMPUTED_VALUE"""),-7526872.454545454)</f>
        <v>-7526872.455</v>
      </c>
      <c r="G116" s="80">
        <f>IFERROR(__xludf.DUMMYFUNCTION("""COMPUTED_VALUE"""),-7777175.181818182)</f>
        <v>-7777175.182</v>
      </c>
      <c r="H116" s="66"/>
      <c r="I116" s="80">
        <f>IFERROR(__xludf.DUMMYFUNCTION("""COMPUTED_VALUE"""),-9729370.636363637)</f>
        <v>-9729370.636</v>
      </c>
      <c r="J116" s="80">
        <f>IFERROR(__xludf.DUMMYFUNCTION("""COMPUTED_VALUE"""),-1.0263952363636363E7)</f>
        <v>-10263952.36</v>
      </c>
      <c r="K116" s="80">
        <f>IFERROR(__xludf.DUMMYFUNCTION("""COMPUTED_VALUE"""),0.0)</f>
        <v>0</v>
      </c>
      <c r="L116" s="80">
        <f>IFERROR(__xludf.DUMMYFUNCTION("""COMPUTED_VALUE"""),0.0)</f>
        <v>0</v>
      </c>
      <c r="M116" s="80">
        <f>IFERROR(__xludf.DUMMYFUNCTION("""COMPUTED_VALUE"""),0.0)</f>
        <v>0</v>
      </c>
      <c r="N116" s="80">
        <f>IFERROR(__xludf.DUMMYFUNCTION("""COMPUTED_VALUE"""),0.0)</f>
        <v>0</v>
      </c>
      <c r="O116" s="80">
        <f>IFERROR(__xludf.DUMMYFUNCTION("""COMPUTED_VALUE"""),-7.917354181818181E7)</f>
        <v>-79173541.82</v>
      </c>
      <c r="P116" s="22" t="str">
        <f>IFERROR(__xludf.DUMMYFUNCTION("""COMPUTED_VALUE"""),"")</f>
        <v/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IFERROR(__xludf.DUMMYFUNCTION("""COMPUTED_VALUE"""),-1.3571102818181818E7)</f>
        <v>-13571102.82</v>
      </c>
      <c r="C117" s="24">
        <f>IFERROR(__xludf.DUMMYFUNCTION("""COMPUTED_VALUE"""),-1.0940431818181818E7)</f>
        <v>-10940431.82</v>
      </c>
      <c r="D117" s="24">
        <f>IFERROR(__xludf.DUMMYFUNCTION("""COMPUTED_VALUE"""),-1.2171781636363637E7)</f>
        <v>-12171781.64</v>
      </c>
      <c r="E117" s="24">
        <f>IFERROR(__xludf.DUMMYFUNCTION("""COMPUTED_VALUE"""),-7240919.909090909)</f>
        <v>-7240919.909</v>
      </c>
      <c r="F117" s="24">
        <f>IFERROR(__xludf.DUMMYFUNCTION("""COMPUTED_VALUE"""),-7531271.454545454)</f>
        <v>-7531271.455</v>
      </c>
      <c r="G117" s="24">
        <f>IFERROR(__xludf.DUMMYFUNCTION("""COMPUTED_VALUE"""),-7797671.181818182)</f>
        <v>-7797671.182</v>
      </c>
      <c r="H117" s="66"/>
      <c r="I117" s="24">
        <f>IFERROR(__xludf.DUMMYFUNCTION("""COMPUTED_VALUE"""),-9747709.636363637)</f>
        <v>-9747709.636</v>
      </c>
      <c r="J117" s="24">
        <f>IFERROR(__xludf.DUMMYFUNCTION("""COMPUTED_VALUE"""),-1.0282344363636363E7)</f>
        <v>-10282344.36</v>
      </c>
      <c r="K117" s="24">
        <f>IFERROR(__xludf.DUMMYFUNCTION("""COMPUTED_VALUE"""),0.0)</f>
        <v>0</v>
      </c>
      <c r="L117" s="24">
        <f>IFERROR(__xludf.DUMMYFUNCTION("""COMPUTED_VALUE"""),0.0)</f>
        <v>0</v>
      </c>
      <c r="M117" s="24">
        <f>IFERROR(__xludf.DUMMYFUNCTION("""COMPUTED_VALUE"""),0.0)</f>
        <v>0</v>
      </c>
      <c r="N117" s="24">
        <f>IFERROR(__xludf.DUMMYFUNCTION("""COMPUTED_VALUE"""),0.0)</f>
        <v>0</v>
      </c>
      <c r="O117" s="66">
        <f>IFERROR(__xludf.DUMMYFUNCTION("""COMPUTED_VALUE"""),-7.928323281818181E7)</f>
        <v>-79283232.82</v>
      </c>
      <c r="P117" s="60" t="str">
        <f>IFERROR(__xludf.DUMMYFUNCTION("""COMPUTED_VALUE"""),"")</f>
        <v/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83"/>
      <c r="C118" s="83"/>
      <c r="D118" s="83"/>
      <c r="E118" s="83"/>
      <c r="F118" s="83"/>
      <c r="G118" s="83"/>
      <c r="H118" s="84"/>
      <c r="I118" s="83"/>
      <c r="J118" s="83"/>
      <c r="K118" s="83"/>
      <c r="L118" s="83"/>
      <c r="M118" s="83"/>
      <c r="N118" s="83"/>
      <c r="O118" s="85"/>
      <c r="P118" s="60"/>
      <c r="Q118" s="60"/>
    </row>
    <row r="119" ht="15.75" customHeight="1">
      <c r="A119" s="57" t="str">
        <f>IFERROR(__xludf.DUMMYFUNCTION("""COMPUTED_VALUE"""),"配布割合")</f>
        <v>配布割合</v>
      </c>
      <c r="B119" s="86"/>
      <c r="C119" s="86"/>
      <c r="D119" s="86"/>
      <c r="E119" s="86"/>
      <c r="F119" s="86"/>
      <c r="G119" s="86"/>
      <c r="H119" s="85"/>
      <c r="I119" s="86"/>
      <c r="J119" s="86"/>
      <c r="K119" s="86"/>
      <c r="L119" s="86"/>
      <c r="M119" s="86"/>
      <c r="N119" s="86"/>
      <c r="O119" s="86"/>
      <c r="P119" s="60"/>
      <c r="Q119" s="60"/>
    </row>
    <row r="120" ht="15.75" customHeight="1">
      <c r="A120" s="57" t="str">
        <f>IFERROR(__xludf.DUMMYFUNCTION("""COMPUTED_VALUE"""),"配布額")</f>
        <v>配布額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5"/>
      <c r="P120" s="60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IFERROR(__xludf.DUMMYFUNCTION("""COMPUTED_VALUE"""),1.1175438E7)</f>
        <v>11175438</v>
      </c>
      <c r="C122" s="46">
        <f>IFERROR(__xludf.DUMMYFUNCTION("""COMPUTED_VALUE"""),8233373.0)</f>
        <v>8233373</v>
      </c>
      <c r="D122" s="46">
        <f>IFERROR(__xludf.DUMMYFUNCTION("""COMPUTED_VALUE"""),7161767.0)</f>
        <v>7161767</v>
      </c>
      <c r="E122" s="46">
        <f>IFERROR(__xludf.DUMMYFUNCTION("""COMPUTED_VALUE"""),4272966.0)</f>
        <v>4272966</v>
      </c>
      <c r="F122" s="46">
        <f>IFERROR(__xludf.DUMMYFUNCTION("""COMPUTED_VALUE"""),5072186.0)</f>
        <v>5072186</v>
      </c>
      <c r="G122" s="46">
        <f>IFERROR(__xludf.DUMMYFUNCTION("""COMPUTED_VALUE"""),5441945.0)</f>
        <v>5441945</v>
      </c>
      <c r="H122" s="24"/>
      <c r="I122" s="46">
        <f>IFERROR(__xludf.DUMMYFUNCTION("""COMPUTED_VALUE"""),7447072.0)</f>
        <v>7447072</v>
      </c>
      <c r="J122" s="46">
        <f>IFERROR(__xludf.DUMMYFUNCTION("""COMPUTED_VALUE"""),8086393.0)</f>
        <v>8086393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IFERROR(__xludf.DUMMYFUNCTION("IMPORTRANGE(""https://docs.google.com/spreadsheets/d/1SlHuJEDBJ4Gy3WXeRPN-U9OYonTEM2Yhh4rIuiFr5bQ/edit#gid=256474166"",""内部!A:S"")"),"2022年度")</f>
        <v>2022年度</v>
      </c>
      <c r="B1" s="38">
        <f>IFERROR(__xludf.DUMMYFUNCTION("""COMPUTED_VALUE"""),10.0)</f>
        <v>10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IFERROR(__xludf.DUMMYFUNCTION("""COMPUTED_VALUE"""),"内部送客")</f>
        <v>内部送客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IFERROR(__xludf.DUMMYFUNCTION("""COMPUTED_VALUE"""),0.0)</f>
        <v>0</v>
      </c>
      <c r="C3" s="44">
        <f>IFERROR(__xludf.DUMMYFUNCTION("""COMPUTED_VALUE"""),0.0)</f>
        <v>0</v>
      </c>
      <c r="D3" s="44">
        <f>IFERROR(__xludf.DUMMYFUNCTION("""COMPUTED_VALUE"""),11000.0)</f>
        <v>11000</v>
      </c>
      <c r="E3" s="44">
        <f>IFERROR(__xludf.DUMMYFUNCTION("""COMPUTED_VALUE"""),0.0)</f>
        <v>0</v>
      </c>
      <c r="F3" s="44">
        <f>IFERROR(__xludf.DUMMYFUNCTION("""COMPUTED_VALUE"""),0.0)</f>
        <v>0</v>
      </c>
      <c r="G3" s="44">
        <f>IFERROR(__xludf.DUMMYFUNCTION("""COMPUTED_VALUE"""),0.0)</f>
        <v>0</v>
      </c>
      <c r="H3" s="24"/>
      <c r="I3" s="44">
        <f>IFERROR(__xludf.DUMMYFUNCTION("""COMPUTED_VALUE"""),0.0)</f>
        <v>0</v>
      </c>
      <c r="J3" s="44">
        <f>IFERROR(__xludf.DUMMYFUNCTION("""COMPUTED_VALUE"""),0.0)</f>
        <v>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IFERROR(__xludf.DUMMYFUNCTION("""COMPUTED_VALUE"""),11000.0)</f>
        <v>11000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>
        <f>IFERROR(__xludf.DUMMYFUNCTION("""COMPUTED_VALUE"""),11000.0)</f>
        <v>11000</v>
      </c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IFERROR(__xludf.DUMMYFUNCTION("""COMPUTED_VALUE"""),11000.0)</f>
        <v>11000</v>
      </c>
      <c r="P13" s="47">
        <f>IFERROR(__xludf.DUMMYFUNCTION("""COMPUTED_VALUE"""),1.0)</f>
        <v>1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>
        <f>IFERROR(__xludf.DUMMYFUNCTION("""COMPUTED_VALUE"""),0.0)</f>
        <v>0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IFERROR(__xludf.DUMMYFUNCTION("""COMPUTED_VALUE"""),0.0)</f>
        <v>0</v>
      </c>
      <c r="C29" s="44">
        <f>IFERROR(__xludf.DUMMYFUNCTION("""COMPUTED_VALUE"""),0.0)</f>
        <v>0</v>
      </c>
      <c r="D29" s="44">
        <f>IFERROR(__xludf.DUMMYFUNCTION("""COMPUTED_VALUE"""),11000.0)</f>
        <v>11000</v>
      </c>
      <c r="E29" s="44">
        <f>IFERROR(__xludf.DUMMYFUNCTION("""COMPUTED_VALUE"""),0.0)</f>
        <v>0</v>
      </c>
      <c r="F29" s="44">
        <f>IFERROR(__xludf.DUMMYFUNCTION("""COMPUTED_VALUE"""),0.0)</f>
        <v>0</v>
      </c>
      <c r="G29" s="44">
        <f>IFERROR(__xludf.DUMMYFUNCTION("""COMPUTED_VALUE"""),0.0)</f>
        <v>0</v>
      </c>
      <c r="H29" s="24"/>
      <c r="I29" s="44">
        <f>IFERROR(__xludf.DUMMYFUNCTION("""COMPUTED_VALUE"""),0.0)</f>
        <v>0</v>
      </c>
      <c r="J29" s="44">
        <f>IFERROR(__xludf.DUMMYFUNCTION("""COMPUTED_VALUE"""),0.0)</f>
        <v>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IFERROR(__xludf.DUMMYFUNCTION("""COMPUTED_VALUE"""),11000.0)</f>
        <v>11000</v>
      </c>
      <c r="P29" s="45">
        <f>IFERROR(__xludf.DUMMYFUNCTION("""COMPUTED_VALUE"""),1.0)</f>
        <v>1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>
        <f>IFERROR(__xludf.DUMMYFUNCTION("""COMPUTED_VALUE"""),11000.0)</f>
        <v>11000</v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IFERROR(__xludf.DUMMYFUNCTION("""COMPUTED_VALUE"""),11000.0)</f>
        <v>11000</v>
      </c>
      <c r="P39" s="47">
        <f>IFERROR(__xludf.DUMMYFUNCTION("""COMPUTED_VALUE"""),1.0)</f>
        <v>1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 t="str">
        <f>IFERROR(__xludf.DUMMYFUNCTION("""COMPUTED_VALUE"""),"")</f>
        <v/>
      </c>
      <c r="C42" s="49" t="str">
        <f>IFERROR(__xludf.DUMMYFUNCTION("""COMPUTED_VALUE"""),"")</f>
        <v/>
      </c>
      <c r="D42" s="49">
        <f>IFERROR(__xludf.DUMMYFUNCTION("""COMPUTED_VALUE"""),1.0)</f>
        <v>1</v>
      </c>
      <c r="E42" s="49" t="str">
        <f>IFERROR(__xludf.DUMMYFUNCTION("""COMPUTED_VALUE"""),"")</f>
        <v/>
      </c>
      <c r="F42" s="49" t="str">
        <f>IFERROR(__xludf.DUMMYFUNCTION("""COMPUTED_VALUE"""),"")</f>
        <v/>
      </c>
      <c r="G42" s="49" t="str">
        <f>IFERROR(__xludf.DUMMYFUNCTION("""COMPUTED_VALUE"""),"")</f>
        <v/>
      </c>
      <c r="H42" s="16"/>
      <c r="I42" s="49" t="str">
        <f>IFERROR(__xludf.DUMMYFUNCTION("""COMPUTED_VALUE"""),"")</f>
        <v/>
      </c>
      <c r="J42" s="49" t="str">
        <f>IFERROR(__xludf.DUMMYFUNCTION("""COMPUTED_VALUE"""),"")</f>
        <v/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IFERROR(__xludf.DUMMYFUNCTION("""COMPUTED_VALUE"""),1.0)</f>
        <v>1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89">
        <f>IFERROR(__xludf.DUMMYFUNCTION("""COMPUTED_VALUE"""),6472676.0)</f>
        <v>6472676</v>
      </c>
      <c r="C44" s="44">
        <f>IFERROR(__xludf.DUMMYFUNCTION("""COMPUTED_VALUE"""),5068933.090909091)</f>
        <v>5068933.091</v>
      </c>
      <c r="D44" s="44">
        <f>IFERROR(__xludf.DUMMYFUNCTION("""COMPUTED_VALUE"""),4457145.090909091)</f>
        <v>4457145.091</v>
      </c>
      <c r="E44" s="44">
        <f>IFERROR(__xludf.DUMMYFUNCTION("""COMPUTED_VALUE"""),4178132.5454545454)</f>
        <v>4178132.545</v>
      </c>
      <c r="F44" s="44">
        <f>IFERROR(__xludf.DUMMYFUNCTION("""COMPUTED_VALUE"""),3948367.727272727)</f>
        <v>3948367.727</v>
      </c>
      <c r="G44" s="44">
        <f>IFERROR(__xludf.DUMMYFUNCTION("""COMPUTED_VALUE"""),3834503.909090909)</f>
        <v>3834503.909</v>
      </c>
      <c r="H44" s="49"/>
      <c r="I44" s="44">
        <f>IFERROR(__xludf.DUMMYFUNCTION("""COMPUTED_VALUE"""),3253157.6363636362)</f>
        <v>3253157.636</v>
      </c>
      <c r="J44" s="44">
        <f>IFERROR(__xludf.DUMMYFUNCTION("""COMPUTED_VALUE"""),3142614.090909091)</f>
        <v>3142614.091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IFERROR(__xludf.DUMMYFUNCTION("""COMPUTED_VALUE"""),3.435553009090909E7)</f>
        <v>34355530.09</v>
      </c>
      <c r="P44" s="22">
        <f>IFERROR(__xludf.DUMMYFUNCTION("""COMPUTED_VALUE"""),3123.230008264463)</f>
        <v>3123.230008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IFERROR(__xludf.DUMMYFUNCTION("""COMPUTED_VALUE"""),1487668.0)</f>
        <v>1487668</v>
      </c>
      <c r="C45" s="24">
        <f>IFERROR(__xludf.DUMMYFUNCTION("""COMPUTED_VALUE"""),865264.0)</f>
        <v>865264</v>
      </c>
      <c r="D45" s="24">
        <f>IFERROR(__xludf.DUMMYFUNCTION("""COMPUTED_VALUE"""),803672.0)</f>
        <v>803672</v>
      </c>
      <c r="E45" s="24">
        <f>IFERROR(__xludf.DUMMYFUNCTION("""COMPUTED_VALUE"""),1456054.0)</f>
        <v>1456054</v>
      </c>
      <c r="F45" s="24">
        <f>IFERROR(__xludf.DUMMYFUNCTION("""COMPUTED_VALUE"""),869672.0)</f>
        <v>869672</v>
      </c>
      <c r="G45" s="24">
        <f>IFERROR(__xludf.DUMMYFUNCTION("""COMPUTED_VALUE"""),920600.0)</f>
        <v>920600</v>
      </c>
      <c r="H45" s="24"/>
      <c r="I45" s="24">
        <f>IFERROR(__xludf.DUMMYFUNCTION("""COMPUTED_VALUE"""),803672.0)</f>
        <v>803672</v>
      </c>
      <c r="J45" s="24">
        <f>IFERROR(__xludf.DUMMYFUNCTION("""COMPUTED_VALUE"""),803672.0)</f>
        <v>803672</v>
      </c>
      <c r="K45" s="24">
        <f>IFERROR(__xludf.DUMMYFUNCTION("""COMPUTED_VALUE"""),0.0)</f>
        <v>0</v>
      </c>
      <c r="L45" s="24">
        <f>IFERROR(__xludf.DUMMYFUNCTION("""COMPUTED_VALUE"""),0.0)</f>
        <v>0</v>
      </c>
      <c r="M45" s="24">
        <f>IFERROR(__xludf.DUMMYFUNCTION("""COMPUTED_VALUE"""),0.0)</f>
        <v>0</v>
      </c>
      <c r="N45" s="24">
        <f>IFERROR(__xludf.DUMMYFUNCTION("""COMPUTED_VALUE"""),0.0)</f>
        <v>0</v>
      </c>
      <c r="O45" s="24">
        <f>IFERROR(__xludf.DUMMYFUNCTION("""COMPUTED_VALUE"""),8010274.0)</f>
        <v>8010274</v>
      </c>
      <c r="P45" s="16">
        <f>IFERROR(__xludf.DUMMYFUNCTION("""COMPUTED_VALUE"""),0.23315821292245523)</f>
        <v>0.2331582129</v>
      </c>
      <c r="Q45" s="16"/>
    </row>
    <row r="46" ht="15.75" customHeight="1">
      <c r="A46" s="51" t="str">
        <f>IFERROR(__xludf.DUMMYFUNCTION("""COMPUTED_VALUE"""),"電話料金")</f>
        <v>電話料金</v>
      </c>
      <c r="B46" s="70"/>
      <c r="C46" s="11"/>
      <c r="D46" s="11"/>
      <c r="E46" s="11">
        <f>IFERROR(__xludf.DUMMYFUNCTION("""COMPUTED_VALUE"""),0.0)</f>
        <v>0</v>
      </c>
      <c r="F46" s="11">
        <f>IFERROR(__xludf.DUMMYFUNCTION("""COMPUTED_VALUE"""),0.0)</f>
        <v>0</v>
      </c>
      <c r="G46" s="11">
        <f>IFERROR(__xludf.DUMMYFUNCTION("""COMPUTED_VALUE"""),0.0)</f>
        <v>0</v>
      </c>
      <c r="H46" s="66"/>
      <c r="I46" s="11">
        <f>IFERROR(__xludf.DUMMYFUNCTION("""COMPUTED_VALUE"""),0.0)</f>
        <v>0</v>
      </c>
      <c r="J46" s="11">
        <f>IFERROR(__xludf.DUMMYFUNCTION("""COMPUTED_VALUE"""),0.0)</f>
        <v>0</v>
      </c>
      <c r="K46" s="11"/>
      <c r="L46" s="11"/>
      <c r="M46" s="11"/>
      <c r="N46" s="11"/>
      <c r="O46" s="77">
        <f>IFERROR(__xludf.DUMMYFUNCTION("""COMPUTED_VALUE"""),0.0)</f>
        <v>0</v>
      </c>
      <c r="P46" s="78">
        <f>IFERROR(__xludf.DUMMYFUNCTION("""COMPUTED_VALUE"""),0.0)</f>
        <v>0</v>
      </c>
      <c r="Q46" s="16"/>
    </row>
    <row r="47" ht="15.75" customHeight="1">
      <c r="A47" s="51" t="str">
        <f>IFERROR(__xludf.DUMMYFUNCTION("""COMPUTED_VALUE"""),"送料")</f>
        <v>送料</v>
      </c>
      <c r="B47" s="70"/>
      <c r="C47" s="11"/>
      <c r="D47" s="11"/>
      <c r="E47" s="11">
        <f>IFERROR(__xludf.DUMMYFUNCTION("""COMPUTED_VALUE"""),0.0)</f>
        <v>0</v>
      </c>
      <c r="F47" s="11">
        <f>IFERROR(__xludf.DUMMYFUNCTION("""COMPUTED_VALUE"""),0.0)</f>
        <v>0</v>
      </c>
      <c r="G47" s="11">
        <f>IFERROR(__xludf.DUMMYFUNCTION("""COMPUTED_VALUE"""),0.0)</f>
        <v>0</v>
      </c>
      <c r="H47" s="66"/>
      <c r="I47" s="11">
        <f>IFERROR(__xludf.DUMMYFUNCTION("""COMPUTED_VALUE"""),0.0)</f>
        <v>0</v>
      </c>
      <c r="J47" s="11">
        <f>IFERROR(__xludf.DUMMYFUNCTION("""COMPUTED_VALUE"""),0.0)</f>
        <v>0</v>
      </c>
      <c r="K47" s="11"/>
      <c r="L47" s="11"/>
      <c r="M47" s="11"/>
      <c r="N47" s="11"/>
      <c r="O47" s="77">
        <f>IFERROR(__xludf.DUMMYFUNCTION("""COMPUTED_VALUE"""),0.0)</f>
        <v>0</v>
      </c>
      <c r="P47" s="78">
        <f>IFERROR(__xludf.DUMMYFUNCTION("""COMPUTED_VALUE"""),0.0)</f>
        <v>0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IFERROR(__xludf.DUMMYFUNCTION("""COMPUTED_VALUE"""),1487668.0)</f>
        <v>1487668</v>
      </c>
      <c r="C48" s="11">
        <f>IFERROR(__xludf.DUMMYFUNCTION("""COMPUTED_VALUE"""),865264.0)</f>
        <v>865264</v>
      </c>
      <c r="D48" s="11">
        <f>IFERROR(__xludf.DUMMYFUNCTION("""COMPUTED_VALUE"""),803672.0)</f>
        <v>803672</v>
      </c>
      <c r="E48" s="11">
        <f>IFERROR(__xludf.DUMMYFUNCTION("""COMPUTED_VALUE"""),1456054.0)</f>
        <v>1456054</v>
      </c>
      <c r="F48" s="11">
        <f>IFERROR(__xludf.DUMMYFUNCTION("""COMPUTED_VALUE"""),869672.0)</f>
        <v>869672</v>
      </c>
      <c r="G48" s="11">
        <f>IFERROR(__xludf.DUMMYFUNCTION("""COMPUTED_VALUE"""),920600.0)</f>
        <v>920600</v>
      </c>
      <c r="H48" s="66"/>
      <c r="I48" s="11">
        <f>IFERROR(__xludf.DUMMYFUNCTION("""COMPUTED_VALUE"""),803672.0)</f>
        <v>803672</v>
      </c>
      <c r="J48" s="11">
        <f>IFERROR(__xludf.DUMMYFUNCTION("""COMPUTED_VALUE"""),803672.0)</f>
        <v>803672</v>
      </c>
      <c r="K48" s="11"/>
      <c r="L48" s="11"/>
      <c r="M48" s="11"/>
      <c r="N48" s="11"/>
      <c r="O48" s="77">
        <f>IFERROR(__xludf.DUMMYFUNCTION("""COMPUTED_VALUE"""),8010274.0)</f>
        <v>8010274</v>
      </c>
      <c r="P48" s="78">
        <f>IFERROR(__xludf.DUMMYFUNCTION("""COMPUTED_VALUE"""),1.0)</f>
        <v>1</v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11"/>
      <c r="D49" s="11"/>
      <c r="E49" s="11">
        <f>IFERROR(__xludf.DUMMYFUNCTION("""COMPUTED_VALUE"""),0.0)</f>
        <v>0</v>
      </c>
      <c r="F49" s="11">
        <f>IFERROR(__xludf.DUMMYFUNCTION("""COMPUTED_VALUE"""),0.0)</f>
        <v>0</v>
      </c>
      <c r="G49" s="11">
        <f>IFERROR(__xludf.DUMMYFUNCTION("""COMPUTED_VALUE"""),0.0)</f>
        <v>0</v>
      </c>
      <c r="H49" s="66"/>
      <c r="I49" s="11">
        <f>IFERROR(__xludf.DUMMYFUNCTION("""COMPUTED_VALUE"""),0.0)</f>
        <v>0</v>
      </c>
      <c r="J49" s="11">
        <f>IFERROR(__xludf.DUMMYFUNCTION("""COMPUTED_VALUE"""),0.0)</f>
        <v>0</v>
      </c>
      <c r="K49" s="11"/>
      <c r="L49" s="11"/>
      <c r="M49" s="11"/>
      <c r="N49" s="11"/>
      <c r="O49" s="77">
        <f>IFERROR(__xludf.DUMMYFUNCTION("""COMPUTED_VALUE"""),0.0)</f>
        <v>0</v>
      </c>
      <c r="P49" s="78">
        <f>IFERROR(__xludf.DUMMYFUNCTION("""COMPUTED_VALUE"""),0.0)</f>
        <v>0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11"/>
      <c r="D50" s="11"/>
      <c r="E50" s="11">
        <f>IFERROR(__xludf.DUMMYFUNCTION("""COMPUTED_VALUE"""),0.0)</f>
        <v>0</v>
      </c>
      <c r="F50" s="11">
        <f>IFERROR(__xludf.DUMMYFUNCTION("""COMPUTED_VALUE"""),0.0)</f>
        <v>0</v>
      </c>
      <c r="G50" s="11">
        <f>IFERROR(__xludf.DUMMYFUNCTION("""COMPUTED_VALUE"""),0.0)</f>
        <v>0</v>
      </c>
      <c r="H50" s="66"/>
      <c r="I50" s="11">
        <f>IFERROR(__xludf.DUMMYFUNCTION("""COMPUTED_VALUE"""),0.0)</f>
        <v>0</v>
      </c>
      <c r="J50" s="11">
        <f>IFERROR(__xludf.DUMMYFUNCTION("""COMPUTED_VALUE"""),0.0)</f>
        <v>0</v>
      </c>
      <c r="K50" s="11"/>
      <c r="L50" s="11"/>
      <c r="M50" s="11"/>
      <c r="N50" s="11"/>
      <c r="O50" s="24">
        <f>IFERROR(__xludf.DUMMYFUNCTION("""COMPUTED_VALUE"""),0.0)</f>
        <v>0</v>
      </c>
      <c r="P50" s="16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70"/>
      <c r="C51" s="11"/>
      <c r="D51" s="11"/>
      <c r="E51" s="11">
        <f>IFERROR(__xludf.DUMMYFUNCTION("""COMPUTED_VALUE"""),0.0)</f>
        <v>0</v>
      </c>
      <c r="F51" s="11">
        <f>IFERROR(__xludf.DUMMYFUNCTION("""COMPUTED_VALUE"""),0.0)</f>
        <v>0</v>
      </c>
      <c r="G51" s="11">
        <f>IFERROR(__xludf.DUMMYFUNCTION("""COMPUTED_VALUE"""),1476.0)</f>
        <v>1476</v>
      </c>
      <c r="H51" s="66"/>
      <c r="I51" s="11">
        <f>IFERROR(__xludf.DUMMYFUNCTION("""COMPUTED_VALUE"""),0.0)</f>
        <v>0</v>
      </c>
      <c r="J51" s="11">
        <f>IFERROR(__xludf.DUMMYFUNCTION("""COMPUTED_VALUE"""),0.0)</f>
        <v>0</v>
      </c>
      <c r="K51" s="11"/>
      <c r="L51" s="11"/>
      <c r="M51" s="11"/>
      <c r="N51" s="11"/>
      <c r="O51" s="24">
        <f>IFERROR(__xludf.DUMMYFUNCTION("""COMPUTED_VALUE"""),1476.0)</f>
        <v>1476</v>
      </c>
      <c r="P51" s="16">
        <f>IFERROR(__xludf.DUMMYFUNCTION("""COMPUTED_VALUE"""),4.2962515673439374E-5)</f>
        <v>0.00004296251567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IFERROR(__xludf.DUMMYFUNCTION("""COMPUTED_VALUE"""),3000000.0)</f>
        <v>3000000</v>
      </c>
      <c r="C52" s="24">
        <f>IFERROR(__xludf.DUMMYFUNCTION("""COMPUTED_VALUE"""),2600000.0)</f>
        <v>2600000</v>
      </c>
      <c r="D52" s="24">
        <f>IFERROR(__xludf.DUMMYFUNCTION("""COMPUTED_VALUE"""),912492.0)</f>
        <v>912492</v>
      </c>
      <c r="E52" s="24">
        <f>IFERROR(__xludf.DUMMYFUNCTION("""COMPUTED_VALUE"""),1204303.0)</f>
        <v>1204303</v>
      </c>
      <c r="F52" s="24">
        <f>IFERROR(__xludf.DUMMYFUNCTION("""COMPUTED_VALUE"""),1325323.0)</f>
        <v>1325323</v>
      </c>
      <c r="G52" s="24">
        <f>IFERROR(__xludf.DUMMYFUNCTION("""COMPUTED_VALUE"""),960867.0)</f>
        <v>960867</v>
      </c>
      <c r="H52" s="24"/>
      <c r="I52" s="24">
        <f>IFERROR(__xludf.DUMMYFUNCTION("""COMPUTED_VALUE"""),550539.0)</f>
        <v>550539</v>
      </c>
      <c r="J52" s="24">
        <f>IFERROR(__xludf.DUMMYFUNCTION("""COMPUTED_VALUE"""),584136.0)</f>
        <v>584136</v>
      </c>
      <c r="K52" s="24">
        <f>IFERROR(__xludf.DUMMYFUNCTION("""COMPUTED_VALUE"""),0.0)</f>
        <v>0</v>
      </c>
      <c r="L52" s="24">
        <f>IFERROR(__xludf.DUMMYFUNCTION("""COMPUTED_VALUE"""),0.0)</f>
        <v>0</v>
      </c>
      <c r="M52" s="24">
        <f>IFERROR(__xludf.DUMMYFUNCTION("""COMPUTED_VALUE"""),0.0)</f>
        <v>0</v>
      </c>
      <c r="N52" s="24">
        <f>IFERROR(__xludf.DUMMYFUNCTION("""COMPUTED_VALUE"""),0.0)</f>
        <v>0</v>
      </c>
      <c r="O52" s="24">
        <f>IFERROR(__xludf.DUMMYFUNCTION("""COMPUTED_VALUE"""),1.113766E7)</f>
        <v>11137660</v>
      </c>
      <c r="P52" s="16">
        <f>IFERROR(__xludf.DUMMYFUNCTION("""COMPUTED_VALUE"""),0.32418827392644906)</f>
        <v>0.3241882739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67">
        <f>IFERROR(__xludf.DUMMYFUNCTION("""COMPUTED_VALUE"""),3000000.0)</f>
        <v>3000000</v>
      </c>
      <c r="C53" s="11">
        <f>IFERROR(__xludf.DUMMYFUNCTION("""COMPUTED_VALUE"""),2600000.0)</f>
        <v>2600000</v>
      </c>
      <c r="D53" s="11">
        <f>IFERROR(__xludf.DUMMYFUNCTION("""COMPUTED_VALUE"""),912492.0)</f>
        <v>912492</v>
      </c>
      <c r="E53" s="11">
        <f>IFERROR(__xludf.DUMMYFUNCTION("""COMPUTED_VALUE"""),1204303.0)</f>
        <v>1204303</v>
      </c>
      <c r="F53" s="11">
        <f>IFERROR(__xludf.DUMMYFUNCTION("""COMPUTED_VALUE"""),1325323.0)</f>
        <v>1325323</v>
      </c>
      <c r="G53" s="11">
        <f>IFERROR(__xludf.DUMMYFUNCTION("""COMPUTED_VALUE"""),960867.0)</f>
        <v>960867</v>
      </c>
      <c r="H53" s="66"/>
      <c r="I53" s="11">
        <f>IFERROR(__xludf.DUMMYFUNCTION("""COMPUTED_VALUE"""),550539.0)</f>
        <v>550539</v>
      </c>
      <c r="J53" s="11">
        <f>IFERROR(__xludf.DUMMYFUNCTION("""COMPUTED_VALUE"""),584136.0)</f>
        <v>584136</v>
      </c>
      <c r="K53" s="11"/>
      <c r="L53" s="11"/>
      <c r="M53" s="11"/>
      <c r="N53" s="11"/>
      <c r="O53" s="77">
        <f>IFERROR(__xludf.DUMMYFUNCTION("""COMPUTED_VALUE"""),1.113766E7)</f>
        <v>11137660</v>
      </c>
      <c r="P53" s="78">
        <f>IFERROR(__xludf.DUMMYFUNCTION("""COMPUTED_VALUE"""),1.0)</f>
        <v>1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11"/>
      <c r="D54" s="11"/>
      <c r="E54" s="11">
        <f>IFERROR(__xludf.DUMMYFUNCTION("""COMPUTED_VALUE"""),0.0)</f>
        <v>0</v>
      </c>
      <c r="F54" s="11">
        <f>IFERROR(__xludf.DUMMYFUNCTION("""COMPUTED_VALUE"""),0.0)</f>
        <v>0</v>
      </c>
      <c r="G54" s="11">
        <f>IFERROR(__xludf.DUMMYFUNCTION("""COMPUTED_VALUE"""),0.0)</f>
        <v>0</v>
      </c>
      <c r="H54" s="66"/>
      <c r="I54" s="11">
        <f>IFERROR(__xludf.DUMMYFUNCTION("""COMPUTED_VALUE"""),0.0)</f>
        <v>0</v>
      </c>
      <c r="J54" s="11">
        <f>IFERROR(__xludf.DUMMYFUNCTION("""COMPUTED_VALUE"""),0.0)</f>
        <v>0</v>
      </c>
      <c r="K54" s="11"/>
      <c r="L54" s="11"/>
      <c r="M54" s="11"/>
      <c r="N54" s="11"/>
      <c r="O54" s="77">
        <f>IFERROR(__xludf.DUMMYFUNCTION("""COMPUTED_VALUE"""),0.0)</f>
        <v>0</v>
      </c>
      <c r="P54" s="78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11"/>
      <c r="D55" s="11"/>
      <c r="E55" s="11">
        <f>IFERROR(__xludf.DUMMYFUNCTION("""COMPUTED_VALUE"""),0.0)</f>
        <v>0</v>
      </c>
      <c r="F55" s="11">
        <f>IFERROR(__xludf.DUMMYFUNCTION("""COMPUTED_VALUE"""),0.0)</f>
        <v>0</v>
      </c>
      <c r="G55" s="11">
        <f>IFERROR(__xludf.DUMMYFUNCTION("""COMPUTED_VALUE"""),0.0)</f>
        <v>0</v>
      </c>
      <c r="H55" s="66"/>
      <c r="I55" s="11">
        <f>IFERROR(__xludf.DUMMYFUNCTION("""COMPUTED_VALUE"""),0.0)</f>
        <v>0</v>
      </c>
      <c r="J55" s="11">
        <f>IFERROR(__xludf.DUMMYFUNCTION("""COMPUTED_VALUE"""),0.0)</f>
        <v>0</v>
      </c>
      <c r="K55" s="11"/>
      <c r="L55" s="11"/>
      <c r="M55" s="11"/>
      <c r="N55" s="11"/>
      <c r="O55" s="77">
        <f>IFERROR(__xludf.DUMMYFUNCTION("""COMPUTED_VALUE"""),0.0)</f>
        <v>0</v>
      </c>
      <c r="P55" s="78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11"/>
      <c r="D56" s="11"/>
      <c r="E56" s="11">
        <f>IFERROR(__xludf.DUMMYFUNCTION("""COMPUTED_VALUE"""),0.0)</f>
        <v>0</v>
      </c>
      <c r="F56" s="11">
        <f>IFERROR(__xludf.DUMMYFUNCTION("""COMPUTED_VALUE"""),0.0)</f>
        <v>0</v>
      </c>
      <c r="G56" s="11">
        <f>IFERROR(__xludf.DUMMYFUNCTION("""COMPUTED_VALUE"""),0.0)</f>
        <v>0</v>
      </c>
      <c r="H56" s="66"/>
      <c r="I56" s="11">
        <f>IFERROR(__xludf.DUMMYFUNCTION("""COMPUTED_VALUE"""),0.0)</f>
        <v>0</v>
      </c>
      <c r="J56" s="11">
        <f>IFERROR(__xludf.DUMMYFUNCTION("""COMPUTED_VALUE"""),0.0)</f>
        <v>0</v>
      </c>
      <c r="K56" s="11"/>
      <c r="L56" s="11"/>
      <c r="M56" s="11"/>
      <c r="N56" s="11"/>
      <c r="O56" s="77">
        <f>IFERROR(__xludf.DUMMYFUNCTION("""COMPUTED_VALUE"""),0.0)</f>
        <v>0</v>
      </c>
      <c r="P56" s="78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11"/>
      <c r="D57" s="11"/>
      <c r="E57" s="11">
        <f>IFERROR(__xludf.DUMMYFUNCTION("""COMPUTED_VALUE"""),0.0)</f>
        <v>0</v>
      </c>
      <c r="F57" s="11">
        <f>IFERROR(__xludf.DUMMYFUNCTION("""COMPUTED_VALUE"""),0.0)</f>
        <v>0</v>
      </c>
      <c r="G57" s="11">
        <f>IFERROR(__xludf.DUMMYFUNCTION("""COMPUTED_VALUE"""),0.0)</f>
        <v>0</v>
      </c>
      <c r="H57" s="66"/>
      <c r="I57" s="11">
        <f>IFERROR(__xludf.DUMMYFUNCTION("""COMPUTED_VALUE"""),0.0)</f>
        <v>0</v>
      </c>
      <c r="J57" s="11">
        <f>IFERROR(__xludf.DUMMYFUNCTION("""COMPUTED_VALUE"""),0.0)</f>
        <v>0</v>
      </c>
      <c r="K57" s="11"/>
      <c r="L57" s="11"/>
      <c r="M57" s="11"/>
      <c r="N57" s="11"/>
      <c r="O57" s="77">
        <f>IFERROR(__xludf.DUMMYFUNCTION("""COMPUTED_VALUE"""),0.0)</f>
        <v>0</v>
      </c>
      <c r="P57" s="78">
        <f>IFERROR(__xludf.DUMMYFUNCTION("""COMPUTED_VALUE"""),0.0)</f>
        <v>0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11"/>
      <c r="D58" s="11"/>
      <c r="E58" s="11">
        <f>IFERROR(__xludf.DUMMYFUNCTION("""COMPUTED_VALUE"""),0.0)</f>
        <v>0</v>
      </c>
      <c r="F58" s="11">
        <f>IFERROR(__xludf.DUMMYFUNCTION("""COMPUTED_VALUE"""),0.0)</f>
        <v>0</v>
      </c>
      <c r="G58" s="11">
        <f>IFERROR(__xludf.DUMMYFUNCTION("""COMPUTED_VALUE"""),0.0)</f>
        <v>0</v>
      </c>
      <c r="H58" s="66"/>
      <c r="I58" s="11">
        <f>IFERROR(__xludf.DUMMYFUNCTION("""COMPUTED_VALUE"""),0.0)</f>
        <v>0</v>
      </c>
      <c r="J58" s="11">
        <f>IFERROR(__xludf.DUMMYFUNCTION("""COMPUTED_VALUE"""),0.0)</f>
        <v>0</v>
      </c>
      <c r="K58" s="11"/>
      <c r="L58" s="11"/>
      <c r="M58" s="11"/>
      <c r="N58" s="11"/>
      <c r="O58" s="77">
        <f>IFERROR(__xludf.DUMMYFUNCTION("""COMPUTED_VALUE"""),0.0)</f>
        <v>0</v>
      </c>
      <c r="P58" s="78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70"/>
      <c r="C59" s="11"/>
      <c r="D59" s="11"/>
      <c r="E59" s="11">
        <f>IFERROR(__xludf.DUMMYFUNCTION("""COMPUTED_VALUE"""),0.0)</f>
        <v>0</v>
      </c>
      <c r="F59" s="11">
        <f>IFERROR(__xludf.DUMMYFUNCTION("""COMPUTED_VALUE"""),0.0)</f>
        <v>0</v>
      </c>
      <c r="G59" s="11">
        <f>IFERROR(__xludf.DUMMYFUNCTION("""COMPUTED_VALUE"""),0.0)</f>
        <v>0</v>
      </c>
      <c r="H59" s="66"/>
      <c r="I59" s="11">
        <f>IFERROR(__xludf.DUMMYFUNCTION("""COMPUTED_VALUE"""),0.0)</f>
        <v>0</v>
      </c>
      <c r="J59" s="11">
        <f>IFERROR(__xludf.DUMMYFUNCTION("""COMPUTED_VALUE"""),0.0)</f>
        <v>0</v>
      </c>
      <c r="K59" s="11"/>
      <c r="L59" s="11"/>
      <c r="M59" s="11"/>
      <c r="N59" s="11"/>
      <c r="O59" s="77">
        <f>IFERROR(__xludf.DUMMYFUNCTION("""COMPUTED_VALUE"""),0.0)</f>
        <v>0</v>
      </c>
      <c r="P59" s="78">
        <f>IFERROR(__xludf.DUMMYFUNCTION("""COMPUTED_VALUE"""),0.0)</f>
        <v>0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11"/>
      <c r="D60" s="11"/>
      <c r="E60" s="11">
        <f>IFERROR(__xludf.DUMMYFUNCTION("""COMPUTED_VALUE"""),0.0)</f>
        <v>0</v>
      </c>
      <c r="F60" s="11">
        <f>IFERROR(__xludf.DUMMYFUNCTION("""COMPUTED_VALUE"""),0.0)</f>
        <v>0</v>
      </c>
      <c r="G60" s="11">
        <f>IFERROR(__xludf.DUMMYFUNCTION("""COMPUTED_VALUE"""),0.0)</f>
        <v>0</v>
      </c>
      <c r="H60" s="66"/>
      <c r="I60" s="11">
        <f>IFERROR(__xludf.DUMMYFUNCTION("""COMPUTED_VALUE"""),0.0)</f>
        <v>0</v>
      </c>
      <c r="J60" s="11">
        <f>IFERROR(__xludf.DUMMYFUNCTION("""COMPUTED_VALUE"""),0.0)</f>
        <v>0</v>
      </c>
      <c r="K60" s="11"/>
      <c r="L60" s="11"/>
      <c r="M60" s="11"/>
      <c r="N60" s="11"/>
      <c r="O60" s="77">
        <f>IFERROR(__xludf.DUMMYFUNCTION("""COMPUTED_VALUE"""),0.0)</f>
        <v>0</v>
      </c>
      <c r="P60" s="78">
        <f>IFERROR(__xludf.DUMMYFUNCTION("""COMPUTED_VALUE"""),0.0)</f>
        <v>0</v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11"/>
      <c r="D61" s="11"/>
      <c r="E61" s="11">
        <f>IFERROR(__xludf.DUMMYFUNCTION("""COMPUTED_VALUE"""),5850.0)</f>
        <v>5850</v>
      </c>
      <c r="F61" s="11">
        <f>IFERROR(__xludf.DUMMYFUNCTION("""COMPUTED_VALUE"""),0.0)</f>
        <v>0</v>
      </c>
      <c r="G61" s="11">
        <f>IFERROR(__xludf.DUMMYFUNCTION("""COMPUTED_VALUE"""),0.0)</f>
        <v>0</v>
      </c>
      <c r="H61" s="66"/>
      <c r="I61" s="11">
        <f>IFERROR(__xludf.DUMMYFUNCTION("""COMPUTED_VALUE"""),0.0)</f>
        <v>0</v>
      </c>
      <c r="J61" s="11">
        <f>IFERROR(__xludf.DUMMYFUNCTION("""COMPUTED_VALUE"""),0.0)</f>
        <v>0</v>
      </c>
      <c r="K61" s="11"/>
      <c r="L61" s="11"/>
      <c r="M61" s="11"/>
      <c r="N61" s="11"/>
      <c r="O61" s="24">
        <f>IFERROR(__xludf.DUMMYFUNCTION("""COMPUTED_VALUE"""),5850.0)</f>
        <v>5850</v>
      </c>
      <c r="P61" s="16">
        <f>IFERROR(__xludf.DUMMYFUNCTION("""COMPUTED_VALUE"""),1.7027826333985117E-4)</f>
        <v>0.0001702782633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11"/>
      <c r="D62" s="11"/>
      <c r="E62" s="11">
        <f>IFERROR(__xludf.DUMMYFUNCTION("""COMPUTED_VALUE"""),0.0)</f>
        <v>0</v>
      </c>
      <c r="F62" s="11">
        <f>IFERROR(__xludf.DUMMYFUNCTION("""COMPUTED_VALUE"""),0.0)</f>
        <v>0</v>
      </c>
      <c r="G62" s="11">
        <f>IFERROR(__xludf.DUMMYFUNCTION("""COMPUTED_VALUE"""),0.0)</f>
        <v>0</v>
      </c>
      <c r="H62" s="66"/>
      <c r="I62" s="11">
        <f>IFERROR(__xludf.DUMMYFUNCTION("""COMPUTED_VALUE"""),0.0)</f>
        <v>0</v>
      </c>
      <c r="J62" s="11">
        <f>IFERROR(__xludf.DUMMYFUNCTION("""COMPUTED_VALUE"""),0.0)</f>
        <v>0</v>
      </c>
      <c r="K62" s="11"/>
      <c r="L62" s="11"/>
      <c r="M62" s="11"/>
      <c r="N62" s="11"/>
      <c r="O62" s="24">
        <f>IFERROR(__xludf.DUMMYFUNCTION("""COMPUTED_VALUE"""),0.0)</f>
        <v>0</v>
      </c>
      <c r="P62" s="16">
        <f>IFERROR(__xludf.DUMMYFUNCTION("""COMPUTED_VALUE"""),0.0)</f>
        <v>0</v>
      </c>
      <c r="Q62" s="16"/>
    </row>
    <row r="63" ht="15.75" customHeight="1">
      <c r="A63" s="48" t="str">
        <f>IFERROR(__xludf.DUMMYFUNCTION("""COMPUTED_VALUE"""),"会議費")</f>
        <v>会議費</v>
      </c>
      <c r="B63" s="70"/>
      <c r="C63" s="11"/>
      <c r="D63" s="11"/>
      <c r="E63" s="11">
        <f>IFERROR(__xludf.DUMMYFUNCTION("""COMPUTED_VALUE"""),0.0)</f>
        <v>0</v>
      </c>
      <c r="F63" s="11">
        <f>IFERROR(__xludf.DUMMYFUNCTION("""COMPUTED_VALUE"""),0.0)</f>
        <v>0</v>
      </c>
      <c r="G63" s="11">
        <f>IFERROR(__xludf.DUMMYFUNCTION("""COMPUTED_VALUE"""),8476.0)</f>
        <v>8476</v>
      </c>
      <c r="H63" s="66"/>
      <c r="I63" s="11">
        <f>IFERROR(__xludf.DUMMYFUNCTION("""COMPUTED_VALUE"""),0.0)</f>
        <v>0</v>
      </c>
      <c r="J63" s="11">
        <f>IFERROR(__xludf.DUMMYFUNCTION("""COMPUTED_VALUE"""),0.0)</f>
        <v>0</v>
      </c>
      <c r="K63" s="11"/>
      <c r="L63" s="11"/>
      <c r="M63" s="11"/>
      <c r="N63" s="11"/>
      <c r="O63" s="24">
        <f>IFERROR(__xludf.DUMMYFUNCTION("""COMPUTED_VALUE"""),8476.0)</f>
        <v>8476</v>
      </c>
      <c r="P63" s="16">
        <f>IFERROR(__xludf.DUMMYFUNCTION("""COMPUTED_VALUE"""),2.467142837724066E-4)</f>
        <v>0.0002467142838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11"/>
      <c r="D64" s="11"/>
      <c r="E64" s="11">
        <f>IFERROR(__xludf.DUMMYFUNCTION("""COMPUTED_VALUE"""),0.0)</f>
        <v>0</v>
      </c>
      <c r="F64" s="11">
        <f>IFERROR(__xludf.DUMMYFUNCTION("""COMPUTED_VALUE"""),0.0)</f>
        <v>0</v>
      </c>
      <c r="G64" s="11">
        <f>IFERROR(__xludf.DUMMYFUNCTION("""COMPUTED_VALUE"""),0.0)</f>
        <v>0</v>
      </c>
      <c r="H64" s="66"/>
      <c r="I64" s="11">
        <f>IFERROR(__xludf.DUMMYFUNCTION("""COMPUTED_VALUE"""),0.0)</f>
        <v>0</v>
      </c>
      <c r="J64" s="11">
        <f>IFERROR(__xludf.DUMMYFUNCTION("""COMPUTED_VALUE"""),0.0)</f>
        <v>0</v>
      </c>
      <c r="K64" s="11"/>
      <c r="L64" s="11"/>
      <c r="M64" s="11"/>
      <c r="N64" s="11"/>
      <c r="O64" s="24">
        <f>IFERROR(__xludf.DUMMYFUNCTION("""COMPUTED_VALUE"""),0.0)</f>
        <v>0</v>
      </c>
      <c r="P64" s="16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70"/>
      <c r="C65" s="11"/>
      <c r="D65" s="11"/>
      <c r="E65" s="11">
        <f>IFERROR(__xludf.DUMMYFUNCTION("""COMPUTED_VALUE"""),0.0)</f>
        <v>0</v>
      </c>
      <c r="F65" s="11">
        <f>IFERROR(__xludf.DUMMYFUNCTION("""COMPUTED_VALUE"""),0.0)</f>
        <v>0</v>
      </c>
      <c r="G65" s="11">
        <f>IFERROR(__xludf.DUMMYFUNCTION("""COMPUTED_VALUE"""),0.0)</f>
        <v>0</v>
      </c>
      <c r="H65" s="66"/>
      <c r="I65" s="11">
        <f>IFERROR(__xludf.DUMMYFUNCTION("""COMPUTED_VALUE"""),0.0)</f>
        <v>0</v>
      </c>
      <c r="J65" s="11">
        <f>IFERROR(__xludf.DUMMYFUNCTION("""COMPUTED_VALUE"""),0.0)</f>
        <v>0</v>
      </c>
      <c r="K65" s="11"/>
      <c r="L65" s="11"/>
      <c r="M65" s="11"/>
      <c r="N65" s="11"/>
      <c r="O65" s="24">
        <f>IFERROR(__xludf.DUMMYFUNCTION("""COMPUTED_VALUE"""),0.0)</f>
        <v>0</v>
      </c>
      <c r="P65" s="16">
        <f>IFERROR(__xludf.DUMMYFUNCTION("""COMPUTED_VALUE"""),0.0)</f>
        <v>0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11"/>
      <c r="D66" s="11"/>
      <c r="E66" s="11">
        <f>IFERROR(__xludf.DUMMYFUNCTION("""COMPUTED_VALUE"""),0.0)</f>
        <v>0</v>
      </c>
      <c r="F66" s="11">
        <f>IFERROR(__xludf.DUMMYFUNCTION("""COMPUTED_VALUE"""),0.0)</f>
        <v>0</v>
      </c>
      <c r="G66" s="11">
        <f>IFERROR(__xludf.DUMMYFUNCTION("""COMPUTED_VALUE"""),0.0)</f>
        <v>0</v>
      </c>
      <c r="H66" s="66"/>
      <c r="I66" s="11">
        <f>IFERROR(__xludf.DUMMYFUNCTION("""COMPUTED_VALUE"""),0.0)</f>
        <v>0</v>
      </c>
      <c r="J66" s="11">
        <f>IFERROR(__xludf.DUMMYFUNCTION("""COMPUTED_VALUE"""),0.0)</f>
        <v>0</v>
      </c>
      <c r="K66" s="11"/>
      <c r="L66" s="11"/>
      <c r="M66" s="11"/>
      <c r="N66" s="11"/>
      <c r="O66" s="24">
        <f>IFERROR(__xludf.DUMMYFUNCTION("""COMPUTED_VALUE"""),0.0)</f>
        <v>0</v>
      </c>
      <c r="P66" s="16">
        <f>IFERROR(__xludf.DUMMYFUNCTION("""COMPUTED_VALUE"""),0.0)</f>
        <v>0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11"/>
      <c r="D67" s="11"/>
      <c r="E67" s="11">
        <f>IFERROR(__xludf.DUMMYFUNCTION("""COMPUTED_VALUE"""),0.0)</f>
        <v>0</v>
      </c>
      <c r="F67" s="11">
        <f>IFERROR(__xludf.DUMMYFUNCTION("""COMPUTED_VALUE"""),0.0)</f>
        <v>0</v>
      </c>
      <c r="G67" s="11">
        <f>IFERROR(__xludf.DUMMYFUNCTION("""COMPUTED_VALUE"""),0.0)</f>
        <v>0</v>
      </c>
      <c r="H67" s="66"/>
      <c r="I67" s="11">
        <f>IFERROR(__xludf.DUMMYFUNCTION("""COMPUTED_VALUE"""),0.0)</f>
        <v>0</v>
      </c>
      <c r="J67" s="11">
        <f>IFERROR(__xludf.DUMMYFUNCTION("""COMPUTED_VALUE"""),0.0)</f>
        <v>0</v>
      </c>
      <c r="K67" s="11"/>
      <c r="L67" s="11"/>
      <c r="M67" s="11"/>
      <c r="N67" s="11"/>
      <c r="O67" s="24">
        <f>IFERROR(__xludf.DUMMYFUNCTION("""COMPUTED_VALUE"""),0.0)</f>
        <v>0</v>
      </c>
      <c r="P67" s="16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11"/>
      <c r="D68" s="11"/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66"/>
      <c r="I68" s="11">
        <f>IFERROR(__xludf.DUMMYFUNCTION("""COMPUTED_VALUE"""),0.0)</f>
        <v>0</v>
      </c>
      <c r="J68" s="11">
        <f>IFERROR(__xludf.DUMMYFUNCTION("""COMPUTED_VALUE"""),0.0)</f>
        <v>0</v>
      </c>
      <c r="K68" s="11"/>
      <c r="L68" s="11"/>
      <c r="M68" s="11"/>
      <c r="N68" s="11"/>
      <c r="O68" s="24">
        <f>IFERROR(__xludf.DUMMYFUNCTION("""COMPUTED_VALUE"""),0.0)</f>
        <v>0</v>
      </c>
      <c r="P68" s="16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11"/>
      <c r="D69" s="11"/>
      <c r="E69" s="11">
        <f>IFERROR(__xludf.DUMMYFUNCTION("""COMPUTED_VALUE"""),0.0)</f>
        <v>0</v>
      </c>
      <c r="F69" s="11">
        <f>IFERROR(__xludf.DUMMYFUNCTION("""COMPUTED_VALUE"""),0.0)</f>
        <v>0</v>
      </c>
      <c r="G69" s="11">
        <f>IFERROR(__xludf.DUMMYFUNCTION("""COMPUTED_VALUE"""),0.0)</f>
        <v>0</v>
      </c>
      <c r="H69" s="66"/>
      <c r="I69" s="11">
        <f>IFERROR(__xludf.DUMMYFUNCTION("""COMPUTED_VALUE"""),0.0)</f>
        <v>0</v>
      </c>
      <c r="J69" s="11">
        <f>IFERROR(__xludf.DUMMYFUNCTION("""COMPUTED_VALUE"""),0.0)</f>
        <v>0</v>
      </c>
      <c r="K69" s="11"/>
      <c r="L69" s="11"/>
      <c r="M69" s="11"/>
      <c r="N69" s="11"/>
      <c r="O69" s="24">
        <f>IFERROR(__xludf.DUMMYFUNCTION("""COMPUTED_VALUE"""),0.0)</f>
        <v>0</v>
      </c>
      <c r="P69" s="16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11"/>
      <c r="D70" s="11"/>
      <c r="E70" s="11">
        <f>IFERROR(__xludf.DUMMYFUNCTION("""COMPUTED_VALUE"""),0.0)</f>
        <v>0</v>
      </c>
      <c r="F70" s="11">
        <f>IFERROR(__xludf.DUMMYFUNCTION("""COMPUTED_VALUE"""),0.0)</f>
        <v>0</v>
      </c>
      <c r="G70" s="11">
        <f>IFERROR(__xludf.DUMMYFUNCTION("""COMPUTED_VALUE"""),0.0)</f>
        <v>0</v>
      </c>
      <c r="H70" s="66"/>
      <c r="I70" s="11">
        <f>IFERROR(__xludf.DUMMYFUNCTION("""COMPUTED_VALUE"""),0.0)</f>
        <v>0</v>
      </c>
      <c r="J70" s="11">
        <f>IFERROR(__xludf.DUMMYFUNCTION("""COMPUTED_VALUE"""),0.0)</f>
        <v>0</v>
      </c>
      <c r="K70" s="11"/>
      <c r="L70" s="11"/>
      <c r="M70" s="11"/>
      <c r="N70" s="11"/>
      <c r="O70" s="24">
        <f>IFERROR(__xludf.DUMMYFUNCTION("""COMPUTED_VALUE"""),0.0)</f>
        <v>0</v>
      </c>
      <c r="P70" s="16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11"/>
      <c r="D71" s="11"/>
      <c r="E71" s="11">
        <f>IFERROR(__xludf.DUMMYFUNCTION("""COMPUTED_VALUE"""),0.0)</f>
        <v>0</v>
      </c>
      <c r="F71" s="11">
        <f>IFERROR(__xludf.DUMMYFUNCTION("""COMPUTED_VALUE"""),0.0)</f>
        <v>0</v>
      </c>
      <c r="G71" s="11">
        <f>IFERROR(__xludf.DUMMYFUNCTION("""COMPUTED_VALUE"""),0.0)</f>
        <v>0</v>
      </c>
      <c r="H71" s="66"/>
      <c r="I71" s="11">
        <f>IFERROR(__xludf.DUMMYFUNCTION("""COMPUTED_VALUE"""),0.0)</f>
        <v>0</v>
      </c>
      <c r="J71" s="11">
        <f>IFERROR(__xludf.DUMMYFUNCTION("""COMPUTED_VALUE"""),0.0)</f>
        <v>0</v>
      </c>
      <c r="K71" s="11"/>
      <c r="L71" s="11"/>
      <c r="M71" s="11"/>
      <c r="N71" s="11"/>
      <c r="O71" s="24">
        <f>IFERROR(__xludf.DUMMYFUNCTION("""COMPUTED_VALUE"""),0.0)</f>
        <v>0</v>
      </c>
      <c r="P71" s="16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11"/>
      <c r="D72" s="11"/>
      <c r="E72" s="11">
        <f>IFERROR(__xludf.DUMMYFUNCTION("""COMPUTED_VALUE"""),0.0)</f>
        <v>0</v>
      </c>
      <c r="F72" s="11">
        <f>IFERROR(__xludf.DUMMYFUNCTION("""COMPUTED_VALUE"""),0.0)</f>
        <v>0</v>
      </c>
      <c r="G72" s="11">
        <f>IFERROR(__xludf.DUMMYFUNCTION("""COMPUTED_VALUE"""),0.0)</f>
        <v>0</v>
      </c>
      <c r="H72" s="66"/>
      <c r="I72" s="11">
        <f>IFERROR(__xludf.DUMMYFUNCTION("""COMPUTED_VALUE"""),0.0)</f>
        <v>0</v>
      </c>
      <c r="J72" s="11">
        <f>IFERROR(__xludf.DUMMYFUNCTION("""COMPUTED_VALUE"""),0.0)</f>
        <v>0</v>
      </c>
      <c r="K72" s="11"/>
      <c r="L72" s="11"/>
      <c r="M72" s="11"/>
      <c r="N72" s="11"/>
      <c r="O72" s="24">
        <f>IFERROR(__xludf.DUMMYFUNCTION("""COMPUTED_VALUE"""),0.0)</f>
        <v>0</v>
      </c>
      <c r="P72" s="16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11"/>
      <c r="D73" s="11"/>
      <c r="E73" s="11">
        <f>IFERROR(__xludf.DUMMYFUNCTION("""COMPUTED_VALUE"""),0.0)</f>
        <v>0</v>
      </c>
      <c r="F73" s="11">
        <f>IFERROR(__xludf.DUMMYFUNCTION("""COMPUTED_VALUE"""),0.0)</f>
        <v>0</v>
      </c>
      <c r="G73" s="11">
        <f>IFERROR(__xludf.DUMMYFUNCTION("""COMPUTED_VALUE"""),0.0)</f>
        <v>0</v>
      </c>
      <c r="H73" s="66"/>
      <c r="I73" s="11">
        <f>IFERROR(__xludf.DUMMYFUNCTION("""COMPUTED_VALUE"""),0.0)</f>
        <v>0</v>
      </c>
      <c r="J73" s="11">
        <f>IFERROR(__xludf.DUMMYFUNCTION("""COMPUTED_VALUE"""),0.0)</f>
        <v>0</v>
      </c>
      <c r="K73" s="11"/>
      <c r="L73" s="11"/>
      <c r="M73" s="11"/>
      <c r="N73" s="11"/>
      <c r="O73" s="24">
        <f>IFERROR(__xludf.DUMMYFUNCTION("""COMPUTED_VALUE"""),0.0)</f>
        <v>0</v>
      </c>
      <c r="P73" s="16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11"/>
      <c r="D74" s="11"/>
      <c r="E74" s="11">
        <f>IFERROR(__xludf.DUMMYFUNCTION("""COMPUTED_VALUE"""),0.0)</f>
        <v>0</v>
      </c>
      <c r="F74" s="11">
        <f>IFERROR(__xludf.DUMMYFUNCTION("""COMPUTED_VALUE"""),0.0)</f>
        <v>0</v>
      </c>
      <c r="G74" s="11">
        <f>IFERROR(__xludf.DUMMYFUNCTION("""COMPUTED_VALUE"""),0.0)</f>
        <v>0</v>
      </c>
      <c r="H74" s="66"/>
      <c r="I74" s="11">
        <f>IFERROR(__xludf.DUMMYFUNCTION("""COMPUTED_VALUE"""),0.0)</f>
        <v>0</v>
      </c>
      <c r="J74" s="11">
        <f>IFERROR(__xludf.DUMMYFUNCTION("""COMPUTED_VALUE"""),0.0)</f>
        <v>0</v>
      </c>
      <c r="K74" s="11"/>
      <c r="L74" s="11"/>
      <c r="M74" s="11"/>
      <c r="N74" s="11"/>
      <c r="O74" s="24">
        <f>IFERROR(__xludf.DUMMYFUNCTION("""COMPUTED_VALUE"""),0.0)</f>
        <v>0</v>
      </c>
      <c r="P74" s="16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11"/>
      <c r="D75" s="11"/>
      <c r="E75" s="11">
        <f>IFERROR(__xludf.DUMMYFUNCTION("""COMPUTED_VALUE"""),0.0)</f>
        <v>0</v>
      </c>
      <c r="F75" s="11">
        <f>IFERROR(__xludf.DUMMYFUNCTION("""COMPUTED_VALUE"""),0.0)</f>
        <v>0</v>
      </c>
      <c r="G75" s="11">
        <f>IFERROR(__xludf.DUMMYFUNCTION("""COMPUTED_VALUE"""),0.0)</f>
        <v>0</v>
      </c>
      <c r="H75" s="66"/>
      <c r="I75" s="11">
        <f>IFERROR(__xludf.DUMMYFUNCTION("""COMPUTED_VALUE"""),0.0)</f>
        <v>0</v>
      </c>
      <c r="J75" s="11">
        <f>IFERROR(__xludf.DUMMYFUNCTION("""COMPUTED_VALUE"""),0.0)</f>
        <v>0</v>
      </c>
      <c r="K75" s="11"/>
      <c r="L75" s="11"/>
      <c r="M75" s="11"/>
      <c r="N75" s="11"/>
      <c r="O75" s="24">
        <f>IFERROR(__xludf.DUMMYFUNCTION("""COMPUTED_VALUE"""),0.0)</f>
        <v>0</v>
      </c>
      <c r="P75" s="16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11"/>
      <c r="D76" s="11"/>
      <c r="E76" s="11">
        <f>IFERROR(__xludf.DUMMYFUNCTION("""COMPUTED_VALUE"""),0.0)</f>
        <v>0</v>
      </c>
      <c r="F76" s="11">
        <f>IFERROR(__xludf.DUMMYFUNCTION("""COMPUTED_VALUE"""),0.0)</f>
        <v>0</v>
      </c>
      <c r="G76" s="11">
        <f>IFERROR(__xludf.DUMMYFUNCTION("""COMPUTED_VALUE"""),0.0)</f>
        <v>0</v>
      </c>
      <c r="H76" s="66"/>
      <c r="I76" s="11">
        <f>IFERROR(__xludf.DUMMYFUNCTION("""COMPUTED_VALUE"""),0.0)</f>
        <v>0</v>
      </c>
      <c r="J76" s="11">
        <f>IFERROR(__xludf.DUMMYFUNCTION("""COMPUTED_VALUE"""),0.0)</f>
        <v>0</v>
      </c>
      <c r="K76" s="11"/>
      <c r="L76" s="11"/>
      <c r="M76" s="11"/>
      <c r="N76" s="11"/>
      <c r="O76" s="24">
        <f>IFERROR(__xludf.DUMMYFUNCTION("""COMPUTED_VALUE"""),0.0)</f>
        <v>0</v>
      </c>
      <c r="P76" s="16">
        <f>IFERROR(__xludf.DUMMYFUNCTION("""COMPUTED_VALUE"""),0.0)</f>
        <v>0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IFERROR(__xludf.DUMMYFUNCTION("""COMPUTED_VALUE"""),1594796.0)</f>
        <v>1594796</v>
      </c>
      <c r="C77" s="24">
        <f>IFERROR(__xludf.DUMMYFUNCTION("""COMPUTED_VALUE"""),1559784.0)</f>
        <v>1559784</v>
      </c>
      <c r="D77" s="24">
        <f>IFERROR(__xludf.DUMMYFUNCTION("""COMPUTED_VALUE"""),2601996.0)</f>
        <v>2601996</v>
      </c>
      <c r="E77" s="24">
        <f>IFERROR(__xludf.DUMMYFUNCTION("""COMPUTED_VALUE"""),1754308.0)</f>
        <v>1754308</v>
      </c>
      <c r="F77" s="24">
        <f>IFERROR(__xludf.DUMMYFUNCTION("""COMPUTED_VALUE"""),1825645.0)</f>
        <v>1825645</v>
      </c>
      <c r="G77" s="24">
        <f>IFERROR(__xludf.DUMMYFUNCTION("""COMPUTED_VALUE"""),1919123.0)</f>
        <v>1919123</v>
      </c>
      <c r="H77" s="24"/>
      <c r="I77" s="24">
        <f>IFERROR(__xludf.DUMMYFUNCTION("""COMPUTED_VALUE"""),1924784.0)</f>
        <v>1924784</v>
      </c>
      <c r="J77" s="24">
        <f>IFERROR(__xludf.DUMMYFUNCTION("""COMPUTED_VALUE"""),1816425.0)</f>
        <v>1816425</v>
      </c>
      <c r="K77" s="24">
        <f>IFERROR(__xludf.DUMMYFUNCTION("""COMPUTED_VALUE"""),0.0)</f>
        <v>0</v>
      </c>
      <c r="L77" s="24">
        <f>IFERROR(__xludf.DUMMYFUNCTION("""COMPUTED_VALUE"""),0.0)</f>
        <v>0</v>
      </c>
      <c r="M77" s="24">
        <f>IFERROR(__xludf.DUMMYFUNCTION("""COMPUTED_VALUE"""),0.0)</f>
        <v>0</v>
      </c>
      <c r="N77" s="24">
        <f>IFERROR(__xludf.DUMMYFUNCTION("""COMPUTED_VALUE"""),0.0)</f>
        <v>0</v>
      </c>
      <c r="O77" s="24">
        <f>IFERROR(__xludf.DUMMYFUNCTION("""COMPUTED_VALUE"""),1.4996861E7)</f>
        <v>14996861</v>
      </c>
      <c r="P77" s="16">
        <f>IFERROR(__xludf.DUMMYFUNCTION("""COMPUTED_VALUE"""),0.4365195635263494)</f>
        <v>0.4365195635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IFERROR(__xludf.DUMMYFUNCTION("""COMPUTED_VALUE"""),952798.0)</f>
        <v>952798</v>
      </c>
      <c r="C78" s="11">
        <f>IFERROR(__xludf.DUMMYFUNCTION("""COMPUTED_VALUE"""),958022.0)</f>
        <v>958022</v>
      </c>
      <c r="D78" s="11">
        <f>IFERROR(__xludf.DUMMYFUNCTION("""COMPUTED_VALUE"""),2039508.0)</f>
        <v>2039508</v>
      </c>
      <c r="E78" s="11">
        <f>IFERROR(__xludf.DUMMYFUNCTION("""COMPUTED_VALUE"""),1223264.0)</f>
        <v>1223264</v>
      </c>
      <c r="F78" s="11">
        <f>IFERROR(__xludf.DUMMYFUNCTION("""COMPUTED_VALUE"""),1228668.0)</f>
        <v>1228668</v>
      </c>
      <c r="G78" s="11">
        <f>IFERROR(__xludf.DUMMYFUNCTION("""COMPUTED_VALUE"""),1227607.0)</f>
        <v>1227607</v>
      </c>
      <c r="H78" s="66"/>
      <c r="I78" s="11">
        <f>IFERROR(__xludf.DUMMYFUNCTION("""COMPUTED_VALUE"""),1223824.0)</f>
        <v>1223824</v>
      </c>
      <c r="J78" s="11">
        <f>IFERROR(__xludf.DUMMYFUNCTION("""COMPUTED_VALUE"""),1223981.0)</f>
        <v>1223981</v>
      </c>
      <c r="K78" s="11"/>
      <c r="L78" s="11"/>
      <c r="M78" s="11"/>
      <c r="N78" s="11"/>
      <c r="O78" s="77">
        <f>IFERROR(__xludf.DUMMYFUNCTION("""COMPUTED_VALUE"""),1.0077672E7)</f>
        <v>10077672</v>
      </c>
      <c r="P78" s="78">
        <f>IFERROR(__xludf.DUMMYFUNCTION("""COMPUTED_VALUE"""),0.6719854241497604)</f>
        <v>0.6719854241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IFERROR(__xludf.DUMMYFUNCTION("""COMPUTED_VALUE"""),480149.0)</f>
        <v>480149</v>
      </c>
      <c r="C79" s="11">
        <f>IFERROR(__xludf.DUMMYFUNCTION("""COMPUTED_VALUE"""),453736.0)</f>
        <v>453736</v>
      </c>
      <c r="D79" s="11">
        <f>IFERROR(__xludf.DUMMYFUNCTION("""COMPUTED_VALUE"""),389876.0)</f>
        <v>389876</v>
      </c>
      <c r="E79" s="11">
        <f>IFERROR(__xludf.DUMMYFUNCTION("""COMPUTED_VALUE"""),376418.0)</f>
        <v>376418</v>
      </c>
      <c r="F79" s="11">
        <f>IFERROR(__xludf.DUMMYFUNCTION("""COMPUTED_VALUE"""),430415.0)</f>
        <v>430415</v>
      </c>
      <c r="G79" s="11">
        <f>IFERROR(__xludf.DUMMYFUNCTION("""COMPUTED_VALUE"""),532771.0)</f>
        <v>532771</v>
      </c>
      <c r="H79" s="66"/>
      <c r="I79" s="11">
        <f>IFERROR(__xludf.DUMMYFUNCTION("""COMPUTED_VALUE"""),529565.0)</f>
        <v>529565</v>
      </c>
      <c r="J79" s="11">
        <f>IFERROR(__xludf.DUMMYFUNCTION("""COMPUTED_VALUE"""),435899.0)</f>
        <v>435899</v>
      </c>
      <c r="K79" s="11"/>
      <c r="L79" s="11"/>
      <c r="M79" s="11"/>
      <c r="N79" s="11"/>
      <c r="O79" s="77">
        <f>IFERROR(__xludf.DUMMYFUNCTION("""COMPUTED_VALUE"""),3628829.0)</f>
        <v>3628829</v>
      </c>
      <c r="P79" s="78">
        <f>IFERROR(__xludf.DUMMYFUNCTION("""COMPUTED_VALUE"""),0.24197257012650847)</f>
        <v>0.2419725701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IFERROR(__xludf.DUMMYFUNCTION("""COMPUTED_VALUE"""),161849.0)</f>
        <v>161849</v>
      </c>
      <c r="C80" s="11">
        <f>IFERROR(__xludf.DUMMYFUNCTION("""COMPUTED_VALUE"""),148026.0)</f>
        <v>148026</v>
      </c>
      <c r="D80" s="11">
        <f>IFERROR(__xludf.DUMMYFUNCTION("""COMPUTED_VALUE"""),172612.0)</f>
        <v>172612</v>
      </c>
      <c r="E80" s="11">
        <f>IFERROR(__xludf.DUMMYFUNCTION("""COMPUTED_VALUE"""),154626.0)</f>
        <v>154626</v>
      </c>
      <c r="F80" s="11">
        <f>IFERROR(__xludf.DUMMYFUNCTION("""COMPUTED_VALUE"""),166562.0)</f>
        <v>166562</v>
      </c>
      <c r="G80" s="11">
        <f>IFERROR(__xludf.DUMMYFUNCTION("""COMPUTED_VALUE"""),158745.0)</f>
        <v>158745</v>
      </c>
      <c r="H80" s="66"/>
      <c r="I80" s="11">
        <f>IFERROR(__xludf.DUMMYFUNCTION("""COMPUTED_VALUE"""),171395.0)</f>
        <v>171395</v>
      </c>
      <c r="J80" s="11">
        <f>IFERROR(__xludf.DUMMYFUNCTION("""COMPUTED_VALUE"""),156545.0)</f>
        <v>156545</v>
      </c>
      <c r="K80" s="11"/>
      <c r="L80" s="11"/>
      <c r="M80" s="11"/>
      <c r="N80" s="11"/>
      <c r="O80" s="77">
        <f>IFERROR(__xludf.DUMMYFUNCTION("""COMPUTED_VALUE"""),1290360.0)</f>
        <v>1290360</v>
      </c>
      <c r="P80" s="78">
        <f>IFERROR(__xludf.DUMMYFUNCTION("""COMPUTED_VALUE"""),0.08604200572373112)</f>
        <v>0.08604200572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/>
      <c r="C81" s="11"/>
      <c r="D81" s="11">
        <f>IFERROR(__xludf.DUMMYFUNCTION("""COMPUTED_VALUE"""),0.0)</f>
        <v>0</v>
      </c>
      <c r="E81" s="11"/>
      <c r="F81" s="11"/>
      <c r="G81" s="11"/>
      <c r="H81" s="66"/>
      <c r="I81" s="11"/>
      <c r="J81" s="11"/>
      <c r="K81" s="11"/>
      <c r="L81" s="11"/>
      <c r="M81" s="11"/>
      <c r="N81" s="11"/>
      <c r="O81" s="77">
        <f>IFERROR(__xludf.DUMMYFUNCTION("""COMPUTED_VALUE"""),0.0)</f>
        <v>0</v>
      </c>
      <c r="P81" s="78">
        <f>IFERROR(__xludf.DUMMYFUNCTION("""COMPUTED_VALUE"""),0.0)</f>
        <v>0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11"/>
      <c r="D82" s="11"/>
      <c r="E82" s="11"/>
      <c r="F82" s="11"/>
      <c r="G82" s="11"/>
      <c r="H82" s="66"/>
      <c r="I82" s="11"/>
      <c r="J82" s="11"/>
      <c r="K82" s="11"/>
      <c r="L82" s="11"/>
      <c r="M82" s="11"/>
      <c r="N82" s="11"/>
      <c r="O82" s="24">
        <f>IFERROR(__xludf.DUMMYFUNCTION("""COMPUTED_VALUE"""),0.0)</f>
        <v>0</v>
      </c>
      <c r="P82" s="16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11"/>
      <c r="D83" s="11"/>
      <c r="E83" s="11">
        <f>IFERROR(__xludf.DUMMYFUNCTION("""COMPUTED_VALUE"""),0.0)</f>
        <v>0</v>
      </c>
      <c r="F83" s="11">
        <f>IFERROR(__xludf.DUMMYFUNCTION("""COMPUTED_VALUE"""),0.0)</f>
        <v>0</v>
      </c>
      <c r="G83" s="11">
        <f>IFERROR(__xludf.DUMMYFUNCTION("""COMPUTED_VALUE"""),0.0)</f>
        <v>0</v>
      </c>
      <c r="H83" s="66"/>
      <c r="I83" s="11"/>
      <c r="J83" s="11">
        <f>IFERROR(__xludf.DUMMYFUNCTION("""COMPUTED_VALUE"""),0.0)</f>
        <v>0</v>
      </c>
      <c r="K83" s="11"/>
      <c r="L83" s="11"/>
      <c r="M83" s="11"/>
      <c r="N83" s="11"/>
      <c r="O83" s="24">
        <f>IFERROR(__xludf.DUMMYFUNCTION("""COMPUTED_VALUE"""),0.0)</f>
        <v>0</v>
      </c>
      <c r="P83" s="16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IFERROR(__xludf.DUMMYFUNCTION("""COMPUTED_VALUE"""),0.0)</f>
        <v>0</v>
      </c>
      <c r="C84" s="24">
        <f>IFERROR(__xludf.DUMMYFUNCTION("""COMPUTED_VALUE"""),0.0)</f>
        <v>0</v>
      </c>
      <c r="D84" s="24">
        <f>IFERROR(__xludf.DUMMYFUNCTION("""COMPUTED_VALUE"""),0.0)</f>
        <v>0</v>
      </c>
      <c r="E84" s="24">
        <f>IFERROR(__xludf.DUMMYFUNCTION("""COMPUTED_VALUE"""),0.0)</f>
        <v>0</v>
      </c>
      <c r="F84" s="24">
        <f>IFERROR(__xludf.DUMMYFUNCTION("""COMPUTED_VALUE"""),0.0)</f>
        <v>0</v>
      </c>
      <c r="G84" s="24">
        <f>IFERROR(__xludf.DUMMYFUNCTION("""COMPUTED_VALUE"""),0.0)</f>
        <v>0</v>
      </c>
      <c r="H84" s="66"/>
      <c r="I84" s="24">
        <f>IFERROR(__xludf.DUMMYFUNCTION("""COMPUTED_VALUE"""),0.0)</f>
        <v>0</v>
      </c>
      <c r="J84" s="24">
        <f>IFERROR(__xludf.DUMMYFUNCTION("""COMPUTED_VALUE"""),0.0)</f>
        <v>0</v>
      </c>
      <c r="K84" s="24">
        <f>IFERROR(__xludf.DUMMYFUNCTION("""COMPUTED_VALUE"""),0.0)</f>
        <v>0</v>
      </c>
      <c r="L84" s="24">
        <f>IFERROR(__xludf.DUMMYFUNCTION("""COMPUTED_VALUE"""),0.0)</f>
        <v>0</v>
      </c>
      <c r="M84" s="24">
        <f>IFERROR(__xludf.DUMMYFUNCTION("""COMPUTED_VALUE"""),0.0)</f>
        <v>0</v>
      </c>
      <c r="N84" s="24">
        <f>IFERROR(__xludf.DUMMYFUNCTION("""COMPUTED_VALUE"""),0.0)</f>
        <v>0</v>
      </c>
      <c r="O84" s="24">
        <f>IFERROR(__xludf.DUMMYFUNCTION("""COMPUTED_VALUE"""),0.0)</f>
        <v>0</v>
      </c>
      <c r="P84" s="16">
        <f>IFERROR(__xludf.DUMMYFUNCTION("""COMPUTED_VALUE"""),0.0)</f>
        <v>0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/>
      <c r="C85" s="11"/>
      <c r="D85" s="11"/>
      <c r="E85" s="11">
        <f>IFERROR(__xludf.DUMMYFUNCTION("""COMPUTED_VALUE"""),0.0)</f>
        <v>0</v>
      </c>
      <c r="F85" s="11">
        <f>IFERROR(__xludf.DUMMYFUNCTION("""COMPUTED_VALUE"""),0.0)</f>
        <v>0</v>
      </c>
      <c r="G85" s="11">
        <f>IFERROR(__xludf.DUMMYFUNCTION("""COMPUTED_VALUE"""),0.0)</f>
        <v>0</v>
      </c>
      <c r="H85" s="66"/>
      <c r="I85" s="11">
        <f>IFERROR(__xludf.DUMMYFUNCTION("""COMPUTED_VALUE"""),0.0)</f>
        <v>0</v>
      </c>
      <c r="J85" s="11">
        <f>IFERROR(__xludf.DUMMYFUNCTION("""COMPUTED_VALUE"""),0.0)</f>
        <v>0</v>
      </c>
      <c r="K85" s="11"/>
      <c r="L85" s="11"/>
      <c r="M85" s="11"/>
      <c r="N85" s="11"/>
      <c r="O85" s="77">
        <f>IFERROR(__xludf.DUMMYFUNCTION("""COMPUTED_VALUE"""),0.0)</f>
        <v>0</v>
      </c>
      <c r="P85" s="78" t="str">
        <f>IFERROR(__xludf.DUMMYFUNCTION("""COMPUTED_VALUE"""),"")</f>
        <v/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11"/>
      <c r="D86" s="11"/>
      <c r="E86" s="11">
        <f>IFERROR(__xludf.DUMMYFUNCTION("""COMPUTED_VALUE"""),0.0)</f>
        <v>0</v>
      </c>
      <c r="F86" s="11">
        <f>IFERROR(__xludf.DUMMYFUNCTION("""COMPUTED_VALUE"""),0.0)</f>
        <v>0</v>
      </c>
      <c r="G86" s="11">
        <f>IFERROR(__xludf.DUMMYFUNCTION("""COMPUTED_VALUE"""),0.0)</f>
        <v>0</v>
      </c>
      <c r="H86" s="66"/>
      <c r="I86" s="11">
        <f>IFERROR(__xludf.DUMMYFUNCTION("""COMPUTED_VALUE"""),0.0)</f>
        <v>0</v>
      </c>
      <c r="J86" s="11">
        <f>IFERROR(__xludf.DUMMYFUNCTION("""COMPUTED_VALUE"""),0.0)</f>
        <v>0</v>
      </c>
      <c r="K86" s="11">
        <f>IFERROR(__xludf.DUMMYFUNCTION("""COMPUTED_VALUE"""),0.0)</f>
        <v>0</v>
      </c>
      <c r="L86" s="11">
        <f>IFERROR(__xludf.DUMMYFUNCTION("""COMPUTED_VALUE"""),0.0)</f>
        <v>0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77">
        <f>IFERROR(__xludf.DUMMYFUNCTION("""COMPUTED_VALUE"""),0.0)</f>
        <v>0</v>
      </c>
      <c r="P86" s="78" t="str">
        <f>IFERROR(__xludf.DUMMYFUNCTION("""COMPUTED_VALUE"""),"")</f>
        <v/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11"/>
      <c r="D87" s="11"/>
      <c r="E87" s="11">
        <f>IFERROR(__xludf.DUMMYFUNCTION("""COMPUTED_VALUE"""),0.0)</f>
        <v>0</v>
      </c>
      <c r="F87" s="11">
        <f>IFERROR(__xludf.DUMMYFUNCTION("""COMPUTED_VALUE"""),0.0)</f>
        <v>0</v>
      </c>
      <c r="G87" s="11">
        <f>IFERROR(__xludf.DUMMYFUNCTION("""COMPUTED_VALUE"""),0.0)</f>
        <v>0</v>
      </c>
      <c r="H87" s="66"/>
      <c r="I87" s="11">
        <f>IFERROR(__xludf.DUMMYFUNCTION("""COMPUTED_VALUE"""),0.0)</f>
        <v>0</v>
      </c>
      <c r="J87" s="11">
        <f>IFERROR(__xludf.DUMMYFUNCTION("""COMPUTED_VALUE"""),0.0)</f>
        <v>0</v>
      </c>
      <c r="K87" s="11">
        <f>IFERROR(__xludf.DUMMYFUNCTION("""COMPUTED_VALUE"""),0.0)</f>
        <v>0</v>
      </c>
      <c r="L87" s="11">
        <f>IFERROR(__xludf.DUMMYFUNCTION("""COMPUTED_VALUE"""),0.0)</f>
        <v>0</v>
      </c>
      <c r="M87" s="11">
        <f>IFERROR(__xludf.DUMMYFUNCTION("""COMPUTED_VALUE"""),0.0)</f>
        <v>0</v>
      </c>
      <c r="N87" s="11">
        <f>IFERROR(__xludf.DUMMYFUNCTION("""COMPUTED_VALUE"""),0.0)</f>
        <v>0</v>
      </c>
      <c r="O87" s="77">
        <f>IFERROR(__xludf.DUMMYFUNCTION("""COMPUTED_VALUE"""),0.0)</f>
        <v>0</v>
      </c>
      <c r="P87" s="78" t="str">
        <f>IFERROR(__xludf.DUMMYFUNCTION("""COMPUTED_VALUE"""),"")</f>
        <v/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11"/>
      <c r="D88" s="11"/>
      <c r="E88" s="11">
        <f>IFERROR(__xludf.DUMMYFUNCTION("""COMPUTED_VALUE"""),0.0)</f>
        <v>0</v>
      </c>
      <c r="F88" s="11">
        <f>IFERROR(__xludf.DUMMYFUNCTION("""COMPUTED_VALUE"""),0.0)</f>
        <v>0</v>
      </c>
      <c r="G88" s="11">
        <f>IFERROR(__xludf.DUMMYFUNCTION("""COMPUTED_VALUE"""),0.0)</f>
        <v>0</v>
      </c>
      <c r="H88" s="66"/>
      <c r="I88" s="11">
        <f>IFERROR(__xludf.DUMMYFUNCTION("""COMPUTED_VALUE"""),0.0)</f>
        <v>0</v>
      </c>
      <c r="J88" s="11">
        <f>IFERROR(__xludf.DUMMYFUNCTION("""COMPUTED_VALUE"""),0.0)</f>
        <v>0</v>
      </c>
      <c r="K88" s="11">
        <f>IFERROR(__xludf.DUMMYFUNCTION("""COMPUTED_VALUE"""),0.0)</f>
        <v>0</v>
      </c>
      <c r="L88" s="11">
        <f>IFERROR(__xludf.DUMMYFUNCTION("""COMPUTED_VALUE"""),0.0)</f>
        <v>0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77">
        <f>IFERROR(__xludf.DUMMYFUNCTION("""COMPUTED_VALUE"""),0.0)</f>
        <v>0</v>
      </c>
      <c r="P88" s="78" t="str">
        <f>IFERROR(__xludf.DUMMYFUNCTION("""COMPUTED_VALUE"""),"")</f>
        <v/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IFERROR(__xludf.DUMMYFUNCTION("""COMPUTED_VALUE"""),0.0)</f>
        <v>0</v>
      </c>
      <c r="C89" s="24">
        <f>IFERROR(__xludf.DUMMYFUNCTION("""COMPUTED_VALUE"""),0.0)</f>
        <v>0</v>
      </c>
      <c r="D89" s="24">
        <f>IFERROR(__xludf.DUMMYFUNCTION("""COMPUTED_VALUE"""),0.0)</f>
        <v>0</v>
      </c>
      <c r="E89" s="24">
        <f>IFERROR(__xludf.DUMMYFUNCTION("""COMPUTED_VALUE"""),0.0)</f>
        <v>0</v>
      </c>
      <c r="F89" s="24">
        <f>IFERROR(__xludf.DUMMYFUNCTION("""COMPUTED_VALUE"""),0.0)</f>
        <v>0</v>
      </c>
      <c r="G89" s="24">
        <f>IFERROR(__xludf.DUMMYFUNCTION("""COMPUTED_VALUE"""),0.0)</f>
        <v>0</v>
      </c>
      <c r="H89" s="24"/>
      <c r="I89" s="24">
        <f>IFERROR(__xludf.DUMMYFUNCTION("""COMPUTED_VALUE"""),0.0)</f>
        <v>0</v>
      </c>
      <c r="J89" s="24">
        <f>IFERROR(__xludf.DUMMYFUNCTION("""COMPUTED_VALUE"""),0.0)</f>
        <v>0</v>
      </c>
      <c r="K89" s="24">
        <f>IFERROR(__xludf.DUMMYFUNCTION("""COMPUTED_VALUE"""),0.0)</f>
        <v>0</v>
      </c>
      <c r="L89" s="24">
        <f>IFERROR(__xludf.DUMMYFUNCTION("""COMPUTED_VALUE"""),0.0)</f>
        <v>0</v>
      </c>
      <c r="M89" s="24">
        <f>IFERROR(__xludf.DUMMYFUNCTION("""COMPUTED_VALUE"""),0.0)</f>
        <v>0</v>
      </c>
      <c r="N89" s="24">
        <f>IFERROR(__xludf.DUMMYFUNCTION("""COMPUTED_VALUE"""),0.0)</f>
        <v>0</v>
      </c>
      <c r="O89" s="24">
        <f>IFERROR(__xludf.DUMMYFUNCTION("""COMPUTED_VALUE"""),0.0)</f>
        <v>0</v>
      </c>
      <c r="P89" s="16">
        <f>IFERROR(__xludf.DUMMYFUNCTION("""COMPUTED_VALUE"""),0.0)</f>
        <v>0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11"/>
      <c r="D90" s="11"/>
      <c r="E90" s="11">
        <f>IFERROR(__xludf.DUMMYFUNCTION("""COMPUTED_VALUE"""),0.0)</f>
        <v>0</v>
      </c>
      <c r="F90" s="11">
        <f>IFERROR(__xludf.DUMMYFUNCTION("""COMPUTED_VALUE"""),0.0)</f>
        <v>0</v>
      </c>
      <c r="G90" s="11">
        <f>IFERROR(__xludf.DUMMYFUNCTION("""COMPUTED_VALUE"""),0.0)</f>
        <v>0</v>
      </c>
      <c r="H90" s="66"/>
      <c r="I90" s="11">
        <f>IFERROR(__xludf.DUMMYFUNCTION("""COMPUTED_VALUE"""),0.0)</f>
        <v>0</v>
      </c>
      <c r="J90" s="11">
        <f>IFERROR(__xludf.DUMMYFUNCTION("""COMPUTED_VALUE"""),0.0)</f>
        <v>0</v>
      </c>
      <c r="K90" s="11"/>
      <c r="L90" s="11"/>
      <c r="M90" s="11"/>
      <c r="N90" s="11"/>
      <c r="O90" s="77">
        <f>IFERROR(__xludf.DUMMYFUNCTION("""COMPUTED_VALUE"""),0.0)</f>
        <v>0</v>
      </c>
      <c r="P90" s="78" t="str">
        <f>IFERROR(__xludf.DUMMYFUNCTION("""COMPUTED_VALUE"""),"")</f>
        <v/>
      </c>
      <c r="Q90" s="16"/>
    </row>
    <row r="91" ht="15.75" customHeight="1">
      <c r="A91" s="51" t="str">
        <f>IFERROR(__xludf.DUMMYFUNCTION("""COMPUTED_VALUE"""),"その他")</f>
        <v>その他</v>
      </c>
      <c r="B91" s="70"/>
      <c r="C91" s="11"/>
      <c r="D91" s="11"/>
      <c r="E91" s="11">
        <f>IFERROR(__xludf.DUMMYFUNCTION("""COMPUTED_VALUE"""),0.0)</f>
        <v>0</v>
      </c>
      <c r="F91" s="11">
        <f>IFERROR(__xludf.DUMMYFUNCTION("""COMPUTED_VALUE"""),0.0)</f>
        <v>0</v>
      </c>
      <c r="G91" s="11">
        <f>IFERROR(__xludf.DUMMYFUNCTION("""COMPUTED_VALUE"""),0.0)</f>
        <v>0</v>
      </c>
      <c r="H91" s="66"/>
      <c r="I91" s="11">
        <f>IFERROR(__xludf.DUMMYFUNCTION("""COMPUTED_VALUE"""),0.0)</f>
        <v>0</v>
      </c>
      <c r="J91" s="11">
        <f>IFERROR(__xludf.DUMMYFUNCTION("""COMPUTED_VALUE"""),0.0)</f>
        <v>0</v>
      </c>
      <c r="K91" s="11"/>
      <c r="L91" s="11"/>
      <c r="M91" s="11"/>
      <c r="N91" s="11"/>
      <c r="O91" s="77">
        <f>IFERROR(__xludf.DUMMYFUNCTION("""COMPUTED_VALUE"""),0.0)</f>
        <v>0</v>
      </c>
      <c r="P91" s="78" t="str">
        <f>IFERROR(__xludf.DUMMYFUNCTION("""COMPUTED_VALUE"""),"")</f>
        <v/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11"/>
      <c r="D92" s="11"/>
      <c r="E92" s="11">
        <f>IFERROR(__xludf.DUMMYFUNCTION("""COMPUTED_VALUE"""),0.0)</f>
        <v>0</v>
      </c>
      <c r="F92" s="11">
        <f>IFERROR(__xludf.DUMMYFUNCTION("""COMPUTED_VALUE"""),0.0)</f>
        <v>0</v>
      </c>
      <c r="G92" s="11">
        <f>IFERROR(__xludf.DUMMYFUNCTION("""COMPUTED_VALUE"""),0.0)</f>
        <v>0</v>
      </c>
      <c r="H92" s="66"/>
      <c r="I92" s="11">
        <f>IFERROR(__xludf.DUMMYFUNCTION("""COMPUTED_VALUE"""),0.0)</f>
        <v>0</v>
      </c>
      <c r="J92" s="11">
        <f>IFERROR(__xludf.DUMMYFUNCTION("""COMPUTED_VALUE"""),0.0)</f>
        <v>0</v>
      </c>
      <c r="K92" s="11"/>
      <c r="L92" s="11"/>
      <c r="M92" s="11"/>
      <c r="N92" s="11"/>
      <c r="O92" s="24">
        <f>IFERROR(__xludf.DUMMYFUNCTION("""COMPUTED_VALUE"""),0.0)</f>
        <v>0</v>
      </c>
      <c r="P92" s="16">
        <f>IFERROR(__xludf.DUMMYFUNCTION("""COMPUTED_VALUE"""),0.0)</f>
        <v>0</v>
      </c>
      <c r="Q92" s="16"/>
    </row>
    <row r="93" ht="15.75" customHeight="1">
      <c r="A93" s="48" t="str">
        <f>IFERROR(__xludf.DUMMYFUNCTION("""COMPUTED_VALUE"""),"販売促進費")</f>
        <v>販売促進費</v>
      </c>
      <c r="B93" s="67">
        <f>IFERROR(__xludf.DUMMYFUNCTION("""COMPUTED_VALUE"""),878000.0)</f>
        <v>878000</v>
      </c>
      <c r="C93" s="11">
        <f>IFERROR(__xludf.DUMMYFUNCTION("""COMPUTED_VALUE"""),394800.0)</f>
        <v>394800</v>
      </c>
      <c r="D93" s="11">
        <f>IFERROR(__xludf.DUMMYFUNCTION("""COMPUTED_VALUE"""),323400.0)</f>
        <v>323400</v>
      </c>
      <c r="E93" s="11">
        <f>IFERROR(__xludf.DUMMYFUNCTION("""COMPUTED_VALUE"""),0.0)</f>
        <v>0</v>
      </c>
      <c r="F93" s="11">
        <f>IFERROR(__xludf.DUMMYFUNCTION("""COMPUTED_VALUE"""),140000.0)</f>
        <v>140000</v>
      </c>
      <c r="G93" s="11">
        <f>IFERROR(__xludf.DUMMYFUNCTION("""COMPUTED_VALUE"""),215500.0)</f>
        <v>215500</v>
      </c>
      <c r="H93" s="66"/>
      <c r="I93" s="11">
        <f>IFERROR(__xludf.DUMMYFUNCTION("""COMPUTED_VALUE"""),107000.0)</f>
        <v>107000</v>
      </c>
      <c r="J93" s="11">
        <f>IFERROR(__xludf.DUMMYFUNCTION("""COMPUTED_VALUE"""),71000.0)</f>
        <v>71000</v>
      </c>
      <c r="K93" s="11"/>
      <c r="L93" s="11"/>
      <c r="M93" s="11"/>
      <c r="N93" s="11"/>
      <c r="O93" s="24">
        <f>IFERROR(__xludf.DUMMYFUNCTION("""COMPUTED_VALUE"""),2129700.0)</f>
        <v>2129700</v>
      </c>
      <c r="P93" s="16">
        <f>IFERROR(__xludf.DUMMYFUNCTION("""COMPUTED_VALUE"""),0.06199002007433864)</f>
        <v>0.06199002007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20"/>
      <c r="D94" s="20"/>
      <c r="E94" s="20"/>
      <c r="F94" s="20"/>
      <c r="G94" s="20"/>
      <c r="H94" s="66"/>
      <c r="I94" s="20"/>
      <c r="J94" s="20"/>
      <c r="K94" s="20"/>
      <c r="L94" s="20"/>
      <c r="M94" s="20"/>
      <c r="N94" s="20"/>
      <c r="O94" s="24">
        <f>IFERROR(__xludf.DUMMYFUNCTION("""COMPUTED_VALUE"""),0.0)</f>
        <v>0</v>
      </c>
      <c r="P94" s="16">
        <f>IFERROR(__xludf.DUMMYFUNCTION("""COMPUTED_VALUE"""),0.0)</f>
        <v>0</v>
      </c>
      <c r="Q94" s="16"/>
    </row>
    <row r="95" ht="15.75" customHeight="1">
      <c r="A95" s="48"/>
      <c r="B95" s="55"/>
      <c r="C95" s="20"/>
      <c r="D95" s="20"/>
      <c r="E95" s="20"/>
      <c r="F95" s="20"/>
      <c r="G95" s="20"/>
      <c r="H95" s="66"/>
      <c r="I95" s="20"/>
      <c r="J95" s="20"/>
      <c r="K95" s="20"/>
      <c r="L95" s="20"/>
      <c r="M95" s="20"/>
      <c r="N95" s="20"/>
      <c r="O95" s="79"/>
      <c r="P95" s="16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 t="str">
        <f>IFERROR(__xludf.DUMMYFUNCTION("""COMPUTED_VALUE"""),"")</f>
        <v/>
      </c>
      <c r="C96" s="22" t="str">
        <f>IFERROR(__xludf.DUMMYFUNCTION("""COMPUTED_VALUE"""),"")</f>
        <v/>
      </c>
      <c r="D96" s="22">
        <f>IFERROR(__xludf.DUMMYFUNCTION("""COMPUTED_VALUE"""),82.95381818181818)</f>
        <v>82.95381818</v>
      </c>
      <c r="E96" s="22" t="str">
        <f>IFERROR(__xludf.DUMMYFUNCTION("""COMPUTED_VALUE"""),"")</f>
        <v/>
      </c>
      <c r="F96" s="22" t="str">
        <f>IFERROR(__xludf.DUMMYFUNCTION("""COMPUTED_VALUE"""),"")</f>
        <v/>
      </c>
      <c r="G96" s="22" t="str">
        <f>IFERROR(__xludf.DUMMYFUNCTION("""COMPUTED_VALUE"""),"")</f>
        <v/>
      </c>
      <c r="H96" s="66"/>
      <c r="I96" s="22" t="str">
        <f>IFERROR(__xludf.DUMMYFUNCTION("""COMPUTED_VALUE"""),"")</f>
        <v/>
      </c>
      <c r="J96" s="22" t="str">
        <f>IFERROR(__xludf.DUMMYFUNCTION("""COMPUTED_VALUE"""),"")</f>
        <v/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22" t="str">
        <f>IFERROR(__xludf.DUMMYFUNCTION("""COMPUTED_VALUE"""),"")</f>
        <v/>
      </c>
      <c r="N96" s="22" t="str">
        <f>IFERROR(__xludf.DUMMYFUNCTION("""COMPUTED_VALUE"""),"")</f>
        <v/>
      </c>
      <c r="O96" s="22">
        <f>IFERROR(__xludf.DUMMYFUNCTION("""COMPUTED_VALUE"""),1012.5145454545454)</f>
        <v>1012.514545</v>
      </c>
      <c r="P96" s="22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 t="str">
        <f>IFERROR(__xludf.DUMMYFUNCTION("""COMPUTED_VALUE"""),"")</f>
        <v/>
      </c>
      <c r="C97" s="22" t="str">
        <f>IFERROR(__xludf.DUMMYFUNCTION("""COMPUTED_VALUE"""),"")</f>
        <v/>
      </c>
      <c r="D97" s="22">
        <f>IFERROR(__xludf.DUMMYFUNCTION("""COMPUTED_VALUE"""),236.5450909090909)</f>
        <v>236.5450909</v>
      </c>
      <c r="E97" s="22" t="str">
        <f>IFERROR(__xludf.DUMMYFUNCTION("""COMPUTED_VALUE"""),"")</f>
        <v/>
      </c>
      <c r="F97" s="22" t="str">
        <f>IFERROR(__xludf.DUMMYFUNCTION("""COMPUTED_VALUE"""),"")</f>
        <v/>
      </c>
      <c r="G97" s="22" t="str">
        <f>IFERROR(__xludf.DUMMYFUNCTION("""COMPUTED_VALUE"""),"")</f>
        <v/>
      </c>
      <c r="H97" s="66"/>
      <c r="I97" s="22" t="str">
        <f>IFERROR(__xludf.DUMMYFUNCTION("""COMPUTED_VALUE"""),"")</f>
        <v/>
      </c>
      <c r="J97" s="22" t="str">
        <f>IFERROR(__xludf.DUMMYFUNCTION("""COMPUTED_VALUE"""),"")</f>
        <v/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22" t="str">
        <f>IFERROR(__xludf.DUMMYFUNCTION("""COMPUTED_VALUE"""),"")</f>
        <v/>
      </c>
      <c r="N97" s="22" t="str">
        <f>IFERROR(__xludf.DUMMYFUNCTION("""COMPUTED_VALUE"""),"")</f>
        <v/>
      </c>
      <c r="O97" s="22" t="str">
        <f>IFERROR(__xludf.DUMMYFUNCTION("""COMPUTED_VALUE"""),"")</f>
        <v/>
      </c>
      <c r="P97" s="22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IFERROR(__xludf.DUMMYFUNCTION("""COMPUTED_VALUE"""),-487788.0)</f>
        <v>-487788</v>
      </c>
      <c r="C98" s="24">
        <f>IFERROR(__xludf.DUMMYFUNCTION("""COMPUTED_VALUE"""),-350914.9090909091)</f>
        <v>-350914.9091</v>
      </c>
      <c r="D98" s="24">
        <f>IFERROR(__xludf.DUMMYFUNCTION("""COMPUTED_VALUE"""),-184414.9090909091)</f>
        <v>-184414.9091</v>
      </c>
      <c r="E98" s="24">
        <f>IFERROR(__xludf.DUMMYFUNCTION("""COMPUTED_VALUE"""),-242382.45454545456)</f>
        <v>-242382.4545</v>
      </c>
      <c r="F98" s="24">
        <f>IFERROR(__xludf.DUMMYFUNCTION("""COMPUTED_VALUE"""),-212272.27272727274)</f>
        <v>-212272.2727</v>
      </c>
      <c r="G98" s="24">
        <f>IFERROR(__xludf.DUMMYFUNCTION("""COMPUTED_VALUE"""),-191538.0909090909)</f>
        <v>-191538.0909</v>
      </c>
      <c r="H98" s="24"/>
      <c r="I98" s="24">
        <f>IFERROR(__xludf.DUMMYFUNCTION("""COMPUTED_VALUE"""),-132837.36363636365)</f>
        <v>-132837.3636</v>
      </c>
      <c r="J98" s="24">
        <f>IFERROR(__xludf.DUMMYFUNCTION("""COMPUTED_VALUE"""),-132618.9090909091)</f>
        <v>-132618.9091</v>
      </c>
      <c r="K98" s="24">
        <f>IFERROR(__xludf.DUMMYFUNCTION("""COMPUTED_VALUE"""),0.0)</f>
        <v>0</v>
      </c>
      <c r="L98" s="24">
        <f>IFERROR(__xludf.DUMMYFUNCTION("""COMPUTED_VALUE"""),0.0)</f>
        <v>0</v>
      </c>
      <c r="M98" s="24">
        <f>IFERROR(__xludf.DUMMYFUNCTION("""COMPUTED_VALUE"""),0.0)</f>
        <v>0</v>
      </c>
      <c r="N98" s="24">
        <f>IFERROR(__xludf.DUMMYFUNCTION("""COMPUTED_VALUE"""),0.0)</f>
        <v>0</v>
      </c>
      <c r="O98" s="24">
        <f>IFERROR(__xludf.DUMMYFUNCTION("""COMPUTED_VALUE"""),-1934766.909090909)</f>
        <v>-1934766.909</v>
      </c>
      <c r="P98" s="16"/>
      <c r="Q98" s="16"/>
    </row>
    <row r="99" ht="15.75" customHeight="1">
      <c r="A99" s="48"/>
      <c r="B99" s="46"/>
      <c r="C99" s="24"/>
      <c r="D99" s="24"/>
      <c r="E99" s="24"/>
      <c r="F99" s="24"/>
      <c r="G99" s="24"/>
      <c r="H99" s="66"/>
      <c r="I99" s="24"/>
      <c r="J99" s="24"/>
      <c r="K99" s="24"/>
      <c r="L99" s="24"/>
      <c r="M99" s="24"/>
      <c r="N99" s="24"/>
      <c r="O99" s="24"/>
      <c r="P99" s="16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IFERROR(__xludf.DUMMYFUNCTION("""COMPUTED_VALUE"""),-6472676.0)</f>
        <v>-6472676</v>
      </c>
      <c r="C100" s="80">
        <f>IFERROR(__xludf.DUMMYFUNCTION("""COMPUTED_VALUE"""),-5068933.090909091)</f>
        <v>-5068933.091</v>
      </c>
      <c r="D100" s="80">
        <f>IFERROR(__xludf.DUMMYFUNCTION("""COMPUTED_VALUE"""),-4446145.090909091)</f>
        <v>-4446145.091</v>
      </c>
      <c r="E100" s="80">
        <f>IFERROR(__xludf.DUMMYFUNCTION("""COMPUTED_VALUE"""),-4178132.5454545454)</f>
        <v>-4178132.545</v>
      </c>
      <c r="F100" s="80">
        <f>IFERROR(__xludf.DUMMYFUNCTION("""COMPUTED_VALUE"""),-3948367.727272727)</f>
        <v>-3948367.727</v>
      </c>
      <c r="G100" s="80">
        <f>IFERROR(__xludf.DUMMYFUNCTION("""COMPUTED_VALUE"""),-3834503.909090909)</f>
        <v>-3834503.909</v>
      </c>
      <c r="H100" s="66"/>
      <c r="I100" s="80">
        <f>IFERROR(__xludf.DUMMYFUNCTION("""COMPUTED_VALUE"""),-3253157.6363636362)</f>
        <v>-3253157.636</v>
      </c>
      <c r="J100" s="80">
        <f>IFERROR(__xludf.DUMMYFUNCTION("""COMPUTED_VALUE"""),-3142614.090909091)</f>
        <v>-3142614.091</v>
      </c>
      <c r="K100" s="80">
        <f>IFERROR(__xludf.DUMMYFUNCTION("""COMPUTED_VALUE"""),0.0)</f>
        <v>0</v>
      </c>
      <c r="L100" s="80">
        <f>IFERROR(__xludf.DUMMYFUNCTION("""COMPUTED_VALUE"""),0.0)</f>
        <v>0</v>
      </c>
      <c r="M100" s="80">
        <f>IFERROR(__xludf.DUMMYFUNCTION("""COMPUTED_VALUE"""),0.0)</f>
        <v>0</v>
      </c>
      <c r="N100" s="80">
        <f>IFERROR(__xludf.DUMMYFUNCTION("""COMPUTED_VALUE"""),0.0)</f>
        <v>0</v>
      </c>
      <c r="O100" s="80">
        <f>IFERROR(__xludf.DUMMYFUNCTION("""COMPUTED_VALUE"""),-3.434453009090909E7)</f>
        <v>-34344530.09</v>
      </c>
      <c r="P100" s="22">
        <f>IFERROR(__xludf.DUMMYFUNCTION("""COMPUTED_VALUE"""),-3122.230008264463)</f>
        <v>-3122.230008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24">
        <f>IFERROR(__xludf.DUMMYFUNCTION("""COMPUTED_VALUE"""),0.0)</f>
        <v>0</v>
      </c>
      <c r="D101" s="24">
        <f>IFERROR(__xludf.DUMMYFUNCTION("""COMPUTED_VALUE"""),0.0)</f>
        <v>0</v>
      </c>
      <c r="E101" s="24">
        <f>IFERROR(__xludf.DUMMYFUNCTION("""COMPUTED_VALUE"""),0.0)</f>
        <v>0</v>
      </c>
      <c r="F101" s="24">
        <f>IFERROR(__xludf.DUMMYFUNCTION("""COMPUTED_VALUE"""),0.0)</f>
        <v>0</v>
      </c>
      <c r="G101" s="24">
        <f>IFERROR(__xludf.DUMMYFUNCTION("""COMPUTED_VALUE"""),0.0)</f>
        <v>0</v>
      </c>
      <c r="H101" s="66"/>
      <c r="I101" s="24">
        <f>IFERROR(__xludf.DUMMYFUNCTION("""COMPUTED_VALUE"""),0.0)</f>
        <v>0</v>
      </c>
      <c r="J101" s="24">
        <f>IFERROR(__xludf.DUMMYFUNCTION("""COMPUTED_VALUE"""),0.0)</f>
        <v>0</v>
      </c>
      <c r="K101" s="24">
        <f>IFERROR(__xludf.DUMMYFUNCTION("""COMPUTED_VALUE"""),0.0)</f>
        <v>0</v>
      </c>
      <c r="L101" s="24">
        <f>IFERROR(__xludf.DUMMYFUNCTION("""COMPUTED_VALUE"""),0.0)</f>
        <v>0</v>
      </c>
      <c r="M101" s="24">
        <f>IFERROR(__xludf.DUMMYFUNCTION("""COMPUTED_VALUE"""),0.0)</f>
        <v>0</v>
      </c>
      <c r="N101" s="24">
        <f>IFERROR(__xludf.DUMMYFUNCTION("""COMPUTED_VALUE"""),0.0)</f>
        <v>0</v>
      </c>
      <c r="O101" s="24">
        <f>IFERROR(__xludf.DUMMYFUNCTION("""COMPUTED_VALUE"""),0.0)</f>
        <v>0</v>
      </c>
      <c r="P101" s="16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11"/>
      <c r="D102" s="11"/>
      <c r="E102" s="11"/>
      <c r="F102" s="11"/>
      <c r="G102" s="11"/>
      <c r="H102" s="66"/>
      <c r="I102" s="11"/>
      <c r="J102" s="11"/>
      <c r="K102" s="11"/>
      <c r="L102" s="11"/>
      <c r="M102" s="11"/>
      <c r="N102" s="11"/>
      <c r="O102" s="77">
        <f>IFERROR(__xludf.DUMMYFUNCTION("""COMPUTED_VALUE"""),0.0)</f>
        <v>0</v>
      </c>
      <c r="P102" s="78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11"/>
      <c r="D103" s="11"/>
      <c r="E103" s="11"/>
      <c r="F103" s="11"/>
      <c r="G103" s="11"/>
      <c r="H103" s="66"/>
      <c r="I103" s="11"/>
      <c r="J103" s="11"/>
      <c r="K103" s="11"/>
      <c r="L103" s="11"/>
      <c r="M103" s="11"/>
      <c r="N103" s="11"/>
      <c r="O103" s="77">
        <f>IFERROR(__xludf.DUMMYFUNCTION("""COMPUTED_VALUE"""),0.0)</f>
        <v>0</v>
      </c>
      <c r="P103" s="78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11"/>
      <c r="D104" s="11"/>
      <c r="E104" s="11"/>
      <c r="F104" s="11"/>
      <c r="G104" s="11"/>
      <c r="H104" s="66"/>
      <c r="I104" s="11"/>
      <c r="J104" s="11"/>
      <c r="K104" s="11"/>
      <c r="L104" s="11"/>
      <c r="M104" s="11"/>
      <c r="N104" s="11"/>
      <c r="O104" s="77">
        <f>IFERROR(__xludf.DUMMYFUNCTION("""COMPUTED_VALUE"""),0.0)</f>
        <v>0</v>
      </c>
      <c r="P104" s="78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24">
        <f>IFERROR(__xludf.DUMMYFUNCTION("""COMPUTED_VALUE"""),0.0)</f>
        <v>0</v>
      </c>
      <c r="D105" s="24">
        <f>IFERROR(__xludf.DUMMYFUNCTION("""COMPUTED_VALUE"""),0.0)</f>
        <v>0</v>
      </c>
      <c r="E105" s="24">
        <f>IFERROR(__xludf.DUMMYFUNCTION("""COMPUTED_VALUE"""),0.0)</f>
        <v>0</v>
      </c>
      <c r="F105" s="24">
        <f>IFERROR(__xludf.DUMMYFUNCTION("""COMPUTED_VALUE"""),0.0)</f>
        <v>0</v>
      </c>
      <c r="G105" s="24">
        <f>IFERROR(__xludf.DUMMYFUNCTION("""COMPUTED_VALUE"""),0.0)</f>
        <v>0</v>
      </c>
      <c r="H105" s="66"/>
      <c r="I105" s="24">
        <f>IFERROR(__xludf.DUMMYFUNCTION("""COMPUTED_VALUE"""),0.0)</f>
        <v>0</v>
      </c>
      <c r="J105" s="24">
        <f>IFERROR(__xludf.DUMMYFUNCTION("""COMPUTED_VALUE"""),0.0)</f>
        <v>0</v>
      </c>
      <c r="K105" s="24">
        <f>IFERROR(__xludf.DUMMYFUNCTION("""COMPUTED_VALUE"""),0.0)</f>
        <v>0</v>
      </c>
      <c r="L105" s="24">
        <f>IFERROR(__xludf.DUMMYFUNCTION("""COMPUTED_VALUE"""),0.0)</f>
        <v>0</v>
      </c>
      <c r="M105" s="24">
        <f>IFERROR(__xludf.DUMMYFUNCTION("""COMPUTED_VALUE"""),0.0)</f>
        <v>0</v>
      </c>
      <c r="N105" s="24">
        <f>IFERROR(__xludf.DUMMYFUNCTION("""COMPUTED_VALUE"""),0.0)</f>
        <v>0</v>
      </c>
      <c r="O105" s="24">
        <f>IFERROR(__xludf.DUMMYFUNCTION("""COMPUTED_VALUE"""),0.0)</f>
        <v>0</v>
      </c>
      <c r="P105" s="16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11"/>
      <c r="D106" s="11"/>
      <c r="E106" s="11"/>
      <c r="F106" s="11"/>
      <c r="G106" s="11"/>
      <c r="H106" s="66"/>
      <c r="I106" s="11"/>
      <c r="J106" s="11">
        <f>IFERROR(__xludf.DUMMYFUNCTION("""COMPUTED_VALUE"""),0.0)</f>
        <v>0</v>
      </c>
      <c r="K106" s="11"/>
      <c r="L106" s="11"/>
      <c r="M106" s="11"/>
      <c r="N106" s="11"/>
      <c r="O106" s="77">
        <f>IFERROR(__xludf.DUMMYFUNCTION("""COMPUTED_VALUE"""),0.0)</f>
        <v>0</v>
      </c>
      <c r="P106" s="78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11"/>
      <c r="D107" s="11"/>
      <c r="E107" s="11"/>
      <c r="F107" s="11"/>
      <c r="G107" s="11"/>
      <c r="H107" s="66"/>
      <c r="I107" s="11"/>
      <c r="J107" s="11">
        <f>IFERROR(__xludf.DUMMYFUNCTION("""COMPUTED_VALUE"""),0.0)</f>
        <v>0</v>
      </c>
      <c r="K107" s="11"/>
      <c r="L107" s="11"/>
      <c r="M107" s="11"/>
      <c r="N107" s="11"/>
      <c r="O107" s="77">
        <f>IFERROR(__xludf.DUMMYFUNCTION("""COMPUTED_VALUE"""),0.0)</f>
        <v>0</v>
      </c>
      <c r="P107" s="78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IFERROR(__xludf.DUMMYFUNCTION("""COMPUTED_VALUE"""),-6472676.0)</f>
        <v>-6472676</v>
      </c>
      <c r="C108" s="80">
        <f>IFERROR(__xludf.DUMMYFUNCTION("""COMPUTED_VALUE"""),-5068933.090909091)</f>
        <v>-5068933.091</v>
      </c>
      <c r="D108" s="80">
        <f>IFERROR(__xludf.DUMMYFUNCTION("""COMPUTED_VALUE"""),-4446145.090909091)</f>
        <v>-4446145.091</v>
      </c>
      <c r="E108" s="80">
        <f>IFERROR(__xludf.DUMMYFUNCTION("""COMPUTED_VALUE"""),-4178132.5454545454)</f>
        <v>-4178132.545</v>
      </c>
      <c r="F108" s="80">
        <f>IFERROR(__xludf.DUMMYFUNCTION("""COMPUTED_VALUE"""),-3948367.727272727)</f>
        <v>-3948367.727</v>
      </c>
      <c r="G108" s="80">
        <f>IFERROR(__xludf.DUMMYFUNCTION("""COMPUTED_VALUE"""),-3834503.909090909)</f>
        <v>-3834503.909</v>
      </c>
      <c r="H108" s="66"/>
      <c r="I108" s="80">
        <f>IFERROR(__xludf.DUMMYFUNCTION("""COMPUTED_VALUE"""),-3253157.6363636362)</f>
        <v>-3253157.636</v>
      </c>
      <c r="J108" s="80">
        <f>IFERROR(__xludf.DUMMYFUNCTION("""COMPUTED_VALUE"""),-3142614.090909091)</f>
        <v>-3142614.091</v>
      </c>
      <c r="K108" s="80">
        <f>IFERROR(__xludf.DUMMYFUNCTION("""COMPUTED_VALUE"""),0.0)</f>
        <v>0</v>
      </c>
      <c r="L108" s="80">
        <f>IFERROR(__xludf.DUMMYFUNCTION("""COMPUTED_VALUE"""),0.0)</f>
        <v>0</v>
      </c>
      <c r="M108" s="80">
        <f>IFERROR(__xludf.DUMMYFUNCTION("""COMPUTED_VALUE"""),0.0)</f>
        <v>0</v>
      </c>
      <c r="N108" s="80">
        <f>IFERROR(__xludf.DUMMYFUNCTION("""COMPUTED_VALUE"""),0.0)</f>
        <v>0</v>
      </c>
      <c r="O108" s="80">
        <f>IFERROR(__xludf.DUMMYFUNCTION("""COMPUTED_VALUE"""),-3.434453009090909E7)</f>
        <v>-34344530.09</v>
      </c>
      <c r="P108" s="22">
        <f>IFERROR(__xludf.DUMMYFUNCTION("""COMPUTED_VALUE"""),-3122.230008264463)</f>
        <v>-3122.230008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IFERROR(__xludf.DUMMYFUNCTION("""COMPUTED_VALUE"""),-2589070.4000000004)</f>
        <v>-2589070.4</v>
      </c>
      <c r="C109" s="24">
        <f>IFERROR(__xludf.DUMMYFUNCTION("""COMPUTED_VALUE"""),-2027573.2363636363)</f>
        <v>-2027573.236</v>
      </c>
      <c r="D109" s="24">
        <f>IFERROR(__xludf.DUMMYFUNCTION("""COMPUTED_VALUE"""),-1778458.0363636364)</f>
        <v>-1778458.036</v>
      </c>
      <c r="E109" s="24">
        <f>IFERROR(__xludf.DUMMYFUNCTION("""COMPUTED_VALUE"""),-1671253.0181818183)</f>
        <v>-1671253.018</v>
      </c>
      <c r="F109" s="24">
        <f>IFERROR(__xludf.DUMMYFUNCTION("""COMPUTED_VALUE"""),-1579347.0909090908)</f>
        <v>-1579347.091</v>
      </c>
      <c r="G109" s="24">
        <f>IFERROR(__xludf.DUMMYFUNCTION("""COMPUTED_VALUE"""),-1533801.5636363637)</f>
        <v>-1533801.564</v>
      </c>
      <c r="H109" s="66"/>
      <c r="I109" s="24">
        <f>IFERROR(__xludf.DUMMYFUNCTION("""COMPUTED_VALUE"""),-1301263.0545454547)</f>
        <v>-1301263.055</v>
      </c>
      <c r="J109" s="24">
        <f>IFERROR(__xludf.DUMMYFUNCTION("""COMPUTED_VALUE"""),-1257045.6363636365)</f>
        <v>-1257045.636</v>
      </c>
      <c r="K109" s="24">
        <f>IFERROR(__xludf.DUMMYFUNCTION("""COMPUTED_VALUE"""),0.0)</f>
        <v>0</v>
      </c>
      <c r="L109" s="24">
        <f>IFERROR(__xludf.DUMMYFUNCTION("""COMPUTED_VALUE"""),0.0)</f>
        <v>0</v>
      </c>
      <c r="M109" s="24">
        <f>IFERROR(__xludf.DUMMYFUNCTION("""COMPUTED_VALUE"""),0.0)</f>
        <v>0</v>
      </c>
      <c r="N109" s="24">
        <f>IFERROR(__xludf.DUMMYFUNCTION("""COMPUTED_VALUE"""),0.0)</f>
        <v>0</v>
      </c>
      <c r="O109" s="24">
        <f>IFERROR(__xludf.DUMMYFUNCTION("""COMPUTED_VALUE"""),-1.3737812036363637E7)</f>
        <v>-13737812.04</v>
      </c>
      <c r="P109" s="16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IFERROR(__xludf.DUMMYFUNCTION("""COMPUTED_VALUE"""),-3883605.5999999996)</f>
        <v>-3883605.6</v>
      </c>
      <c r="C110" s="80">
        <f>IFERROR(__xludf.DUMMYFUNCTION("""COMPUTED_VALUE"""),-3041359.8545454545)</f>
        <v>-3041359.855</v>
      </c>
      <c r="D110" s="80">
        <f>IFERROR(__xludf.DUMMYFUNCTION("""COMPUTED_VALUE"""),-2667687.0545454547)</f>
        <v>-2667687.055</v>
      </c>
      <c r="E110" s="80">
        <f>IFERROR(__xludf.DUMMYFUNCTION("""COMPUTED_VALUE"""),-2506879.5272727273)</f>
        <v>-2506879.527</v>
      </c>
      <c r="F110" s="80">
        <f>IFERROR(__xludf.DUMMYFUNCTION("""COMPUTED_VALUE"""),-2369020.6363636362)</f>
        <v>-2369020.636</v>
      </c>
      <c r="G110" s="80">
        <f>IFERROR(__xludf.DUMMYFUNCTION("""COMPUTED_VALUE"""),-2300702.3454545457)</f>
        <v>-2300702.345</v>
      </c>
      <c r="H110" s="66"/>
      <c r="I110" s="80">
        <f>IFERROR(__xludf.DUMMYFUNCTION("""COMPUTED_VALUE"""),-1951894.5818181816)</f>
        <v>-1951894.582</v>
      </c>
      <c r="J110" s="80">
        <f>IFERROR(__xludf.DUMMYFUNCTION("""COMPUTED_VALUE"""),-1885568.4545454544)</f>
        <v>-1885568.455</v>
      </c>
      <c r="K110" s="80">
        <f>IFERROR(__xludf.DUMMYFUNCTION("""COMPUTED_VALUE"""),0.0)</f>
        <v>0</v>
      </c>
      <c r="L110" s="80">
        <f>IFERROR(__xludf.DUMMYFUNCTION("""COMPUTED_VALUE"""),0.0)</f>
        <v>0</v>
      </c>
      <c r="M110" s="80">
        <f>IFERROR(__xludf.DUMMYFUNCTION("""COMPUTED_VALUE"""),0.0)</f>
        <v>0</v>
      </c>
      <c r="N110" s="80">
        <f>IFERROR(__xludf.DUMMYFUNCTION("""COMPUTED_VALUE"""),0.0)</f>
        <v>0</v>
      </c>
      <c r="O110" s="80">
        <f>IFERROR(__xludf.DUMMYFUNCTION("""COMPUTED_VALUE"""),-2.0606718054545455E7)</f>
        <v>-20606718.05</v>
      </c>
      <c r="P110" s="22">
        <f>IFERROR(__xludf.DUMMYFUNCTION("""COMPUTED_VALUE"""),-1873.3380049586776)</f>
        <v>-1873.338005</v>
      </c>
      <c r="Q110" s="16"/>
    </row>
    <row r="111" ht="15.75" customHeight="1">
      <c r="A111" s="48"/>
      <c r="B111" s="46"/>
      <c r="C111" s="24"/>
      <c r="D111" s="24"/>
      <c r="E111" s="24"/>
      <c r="F111" s="24"/>
      <c r="G111" s="24"/>
      <c r="H111" s="66"/>
      <c r="I111" s="24"/>
      <c r="J111" s="24"/>
      <c r="K111" s="24"/>
      <c r="L111" s="24"/>
      <c r="M111" s="24"/>
      <c r="N111" s="24"/>
      <c r="O111" s="24"/>
      <c r="P111" s="16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IFERROR(__xludf.DUMMYFUNCTION("""COMPUTED_VALUE"""),-2157558.6666666665)</f>
        <v>-2157558.667</v>
      </c>
      <c r="C112" s="80">
        <f>IFERROR(__xludf.DUMMYFUNCTION("""COMPUTED_VALUE"""),-1689644.3636363635)</f>
        <v>-1689644.364</v>
      </c>
      <c r="D112" s="80">
        <f>IFERROR(__xludf.DUMMYFUNCTION("""COMPUTED_VALUE"""),-1482048.3636363635)</f>
        <v>-1482048.364</v>
      </c>
      <c r="E112" s="80">
        <f>IFERROR(__xludf.DUMMYFUNCTION("""COMPUTED_VALUE"""),-1392710.8484848484)</f>
        <v>-1392710.848</v>
      </c>
      <c r="F112" s="80">
        <f>IFERROR(__xludf.DUMMYFUNCTION("""COMPUTED_VALUE"""),-1316122.5757575757)</f>
        <v>-1316122.576</v>
      </c>
      <c r="G112" s="80">
        <f>IFERROR(__xludf.DUMMYFUNCTION("""COMPUTED_VALUE"""),-1278167.9696969697)</f>
        <v>-1278167.97</v>
      </c>
      <c r="H112" s="66"/>
      <c r="I112" s="80">
        <f>IFERROR(__xludf.DUMMYFUNCTION("""COMPUTED_VALUE"""),-1084385.8787878787)</f>
        <v>-1084385.879</v>
      </c>
      <c r="J112" s="80">
        <f>IFERROR(__xludf.DUMMYFUNCTION("""COMPUTED_VALUE"""),-1047538.0303030303)</f>
        <v>-1047538.03</v>
      </c>
      <c r="K112" s="80" t="str">
        <f>IFERROR(__xludf.DUMMYFUNCTION("""COMPUTED_VALUE"""),"")</f>
        <v/>
      </c>
      <c r="L112" s="80" t="str">
        <f>IFERROR(__xludf.DUMMYFUNCTION("""COMPUTED_VALUE"""),"")</f>
        <v/>
      </c>
      <c r="M112" s="80" t="str">
        <f>IFERROR(__xludf.DUMMYFUNCTION("""COMPUTED_VALUE"""),"")</f>
        <v/>
      </c>
      <c r="N112" s="80" t="str">
        <f>IFERROR(__xludf.DUMMYFUNCTION("""COMPUTED_VALUE"""),"")</f>
        <v/>
      </c>
      <c r="O112" s="80">
        <f>IFERROR(__xludf.DUMMYFUNCTION("""COMPUTED_VALUE"""),-1431022.0871212122)</f>
        <v>-1431022.087</v>
      </c>
      <c r="P112" s="22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IFERROR(__xludf.DUMMYFUNCTION("""COMPUTED_VALUE"""),3.0)</f>
        <v>3</v>
      </c>
      <c r="C113" s="81">
        <f>IFERROR(__xludf.DUMMYFUNCTION("""COMPUTED_VALUE"""),3.0)</f>
        <v>3</v>
      </c>
      <c r="D113" s="81">
        <f>IFERROR(__xludf.DUMMYFUNCTION("""COMPUTED_VALUE"""),3.0)</f>
        <v>3</v>
      </c>
      <c r="E113" s="81">
        <f>IFERROR(__xludf.DUMMYFUNCTION("""COMPUTED_VALUE"""),3.0)</f>
        <v>3</v>
      </c>
      <c r="F113" s="81">
        <f>IFERROR(__xludf.DUMMYFUNCTION("""COMPUTED_VALUE"""),3.0)</f>
        <v>3</v>
      </c>
      <c r="G113" s="81">
        <f>IFERROR(__xludf.DUMMYFUNCTION("""COMPUTED_VALUE"""),3.0)</f>
        <v>3</v>
      </c>
      <c r="H113" s="82"/>
      <c r="I113" s="81">
        <f>IFERROR(__xludf.DUMMYFUNCTION("""COMPUTED_VALUE"""),3.0)</f>
        <v>3</v>
      </c>
      <c r="J113" s="81">
        <f>IFERROR(__xludf.DUMMYFUNCTION("""COMPUTED_VALUE"""),3.0)</f>
        <v>3</v>
      </c>
      <c r="K113" s="81"/>
      <c r="L113" s="81"/>
      <c r="M113" s="81"/>
      <c r="N113" s="81"/>
      <c r="O113" s="79">
        <f>IFERROR(__xludf.DUMMYFUNCTION("""COMPUTED_VALUE"""),24.0)</f>
        <v>24</v>
      </c>
      <c r="P113" s="16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IFERROR(__xludf.DUMMYFUNCTION("""COMPUTED_VALUE"""),0.0)</f>
        <v>0</v>
      </c>
      <c r="C114" s="81">
        <f>IFERROR(__xludf.DUMMYFUNCTION("""COMPUTED_VALUE"""),0.0)</f>
        <v>0</v>
      </c>
      <c r="D114" s="81">
        <f>IFERROR(__xludf.DUMMYFUNCTION("""COMPUTED_VALUE"""),0.0)</f>
        <v>0</v>
      </c>
      <c r="E114" s="81"/>
      <c r="F114" s="81"/>
      <c r="G114" s="81"/>
      <c r="H114" s="82"/>
      <c r="I114" s="81"/>
      <c r="J114" s="81"/>
      <c r="K114" s="81"/>
      <c r="L114" s="81"/>
      <c r="M114" s="81"/>
      <c r="N114" s="81"/>
      <c r="O114" s="79">
        <f>IFERROR(__xludf.DUMMYFUNCTION("""COMPUTED_VALUE"""),0.0)</f>
        <v>0</v>
      </c>
      <c r="P114" s="16"/>
      <c r="Q114" s="16"/>
    </row>
    <row r="115" ht="15.75" customHeight="1">
      <c r="A115" s="48"/>
      <c r="B115" s="48"/>
      <c r="C115" s="3"/>
      <c r="D115" s="3"/>
      <c r="E115" s="3"/>
      <c r="F115" s="3"/>
      <c r="G115" s="3"/>
      <c r="H115" s="66"/>
      <c r="I115" s="3"/>
      <c r="J115" s="3"/>
      <c r="K115" s="3"/>
      <c r="L115" s="3"/>
      <c r="M115" s="3"/>
      <c r="N115" s="3"/>
      <c r="O115" s="79"/>
      <c r="P115" s="16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IFERROR(__xludf.DUMMYFUNCTION("""COMPUTED_VALUE"""),-6472676.0)</f>
        <v>-6472676</v>
      </c>
      <c r="C116" s="80">
        <f>IFERROR(__xludf.DUMMYFUNCTION("""COMPUTED_VALUE"""),-5068933.090909091)</f>
        <v>-5068933.091</v>
      </c>
      <c r="D116" s="80">
        <f>IFERROR(__xludf.DUMMYFUNCTION("""COMPUTED_VALUE"""),-4446145.090909091)</f>
        <v>-4446145.091</v>
      </c>
      <c r="E116" s="80">
        <f>IFERROR(__xludf.DUMMYFUNCTION("""COMPUTED_VALUE"""),-4178132.5454545454)</f>
        <v>-4178132.545</v>
      </c>
      <c r="F116" s="80">
        <f>IFERROR(__xludf.DUMMYFUNCTION("""COMPUTED_VALUE"""),-3948367.727272727)</f>
        <v>-3948367.727</v>
      </c>
      <c r="G116" s="80">
        <f>IFERROR(__xludf.DUMMYFUNCTION("""COMPUTED_VALUE"""),-3834503.909090909)</f>
        <v>-3834503.909</v>
      </c>
      <c r="H116" s="66"/>
      <c r="I116" s="80">
        <f>IFERROR(__xludf.DUMMYFUNCTION("""COMPUTED_VALUE"""),-3253157.6363636362)</f>
        <v>-3253157.636</v>
      </c>
      <c r="J116" s="80">
        <f>IFERROR(__xludf.DUMMYFUNCTION("""COMPUTED_VALUE"""),-3142614.090909091)</f>
        <v>-3142614.091</v>
      </c>
      <c r="K116" s="80">
        <f>IFERROR(__xludf.DUMMYFUNCTION("""COMPUTED_VALUE"""),0.0)</f>
        <v>0</v>
      </c>
      <c r="L116" s="80">
        <f>IFERROR(__xludf.DUMMYFUNCTION("""COMPUTED_VALUE"""),0.0)</f>
        <v>0</v>
      </c>
      <c r="M116" s="80">
        <f>IFERROR(__xludf.DUMMYFUNCTION("""COMPUTED_VALUE"""),0.0)</f>
        <v>0</v>
      </c>
      <c r="N116" s="80">
        <f>IFERROR(__xludf.DUMMYFUNCTION("""COMPUTED_VALUE"""),0.0)</f>
        <v>0</v>
      </c>
      <c r="O116" s="80">
        <f>IFERROR(__xludf.DUMMYFUNCTION("""COMPUTED_VALUE"""),-3.434453009090909E7)</f>
        <v>-34344530.09</v>
      </c>
      <c r="P116" s="22">
        <f>IFERROR(__xludf.DUMMYFUNCTION("""COMPUTED_VALUE"""),-3122.230008264463)</f>
        <v>-3122.230008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IFERROR(__xludf.DUMMYFUNCTION("""COMPUTED_VALUE"""),-6472676.0)</f>
        <v>-6472676</v>
      </c>
      <c r="C117" s="24">
        <f>IFERROR(__xludf.DUMMYFUNCTION("""COMPUTED_VALUE"""),-5068933.090909091)</f>
        <v>-5068933.091</v>
      </c>
      <c r="D117" s="24">
        <f>IFERROR(__xludf.DUMMYFUNCTION("""COMPUTED_VALUE"""),-4446145.090909091)</f>
        <v>-4446145.091</v>
      </c>
      <c r="E117" s="24">
        <f>IFERROR(__xludf.DUMMYFUNCTION("""COMPUTED_VALUE"""),-4178132.5454545454)</f>
        <v>-4178132.545</v>
      </c>
      <c r="F117" s="24">
        <f>IFERROR(__xludf.DUMMYFUNCTION("""COMPUTED_VALUE"""),-3948367.727272727)</f>
        <v>-3948367.727</v>
      </c>
      <c r="G117" s="24">
        <f>IFERROR(__xludf.DUMMYFUNCTION("""COMPUTED_VALUE"""),-3834503.909090909)</f>
        <v>-3834503.909</v>
      </c>
      <c r="H117" s="66"/>
      <c r="I117" s="24">
        <f>IFERROR(__xludf.DUMMYFUNCTION("""COMPUTED_VALUE"""),-3253157.6363636362)</f>
        <v>-3253157.636</v>
      </c>
      <c r="J117" s="24">
        <f>IFERROR(__xludf.DUMMYFUNCTION("""COMPUTED_VALUE"""),-3142614.090909091)</f>
        <v>-3142614.091</v>
      </c>
      <c r="K117" s="24">
        <f>IFERROR(__xludf.DUMMYFUNCTION("""COMPUTED_VALUE"""),0.0)</f>
        <v>0</v>
      </c>
      <c r="L117" s="24">
        <f>IFERROR(__xludf.DUMMYFUNCTION("""COMPUTED_VALUE"""),0.0)</f>
        <v>0</v>
      </c>
      <c r="M117" s="24">
        <f>IFERROR(__xludf.DUMMYFUNCTION("""COMPUTED_VALUE"""),0.0)</f>
        <v>0</v>
      </c>
      <c r="N117" s="24">
        <f>IFERROR(__xludf.DUMMYFUNCTION("""COMPUTED_VALUE"""),0.0)</f>
        <v>0</v>
      </c>
      <c r="O117" s="66">
        <f>IFERROR(__xludf.DUMMYFUNCTION("""COMPUTED_VALUE"""),-3.434453009090909E7)</f>
        <v>-34344530.09</v>
      </c>
      <c r="P117" s="60">
        <f>IFERROR(__xludf.DUMMYFUNCTION("""COMPUTED_VALUE"""),-3122.230008264463)</f>
        <v>-3122.230008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83"/>
      <c r="C118" s="83"/>
      <c r="D118" s="83"/>
      <c r="E118" s="83"/>
      <c r="F118" s="83"/>
      <c r="G118" s="83"/>
      <c r="H118" s="84"/>
      <c r="I118" s="83"/>
      <c r="J118" s="83"/>
      <c r="K118" s="83"/>
      <c r="L118" s="83"/>
      <c r="M118" s="83"/>
      <c r="N118" s="83"/>
      <c r="O118" s="85"/>
      <c r="P118" s="60"/>
      <c r="Q118" s="60"/>
    </row>
    <row r="119" ht="15.75" customHeight="1">
      <c r="A119" s="57" t="str">
        <f>IFERROR(__xludf.DUMMYFUNCTION("""COMPUTED_VALUE"""),"配布割合")</f>
        <v>配布割合</v>
      </c>
      <c r="B119" s="86"/>
      <c r="C119" s="86"/>
      <c r="D119" s="86"/>
      <c r="E119" s="86"/>
      <c r="F119" s="86"/>
      <c r="G119" s="86"/>
      <c r="H119" s="85"/>
      <c r="I119" s="86"/>
      <c r="J119" s="86"/>
      <c r="K119" s="86"/>
      <c r="L119" s="86"/>
      <c r="M119" s="86"/>
      <c r="N119" s="86"/>
      <c r="O119" s="86"/>
      <c r="P119" s="60"/>
      <c r="Q119" s="60"/>
    </row>
    <row r="120" ht="15.75" customHeight="1">
      <c r="A120" s="57" t="str">
        <f>IFERROR(__xludf.DUMMYFUNCTION("""COMPUTED_VALUE"""),"配布額")</f>
        <v>配布額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5"/>
      <c r="P120" s="60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IFERROR(__xludf.DUMMYFUNCTION("""COMPUTED_VALUE"""),5365668.0)</f>
        <v>5365668</v>
      </c>
      <c r="C122" s="46">
        <f>IFERROR(__xludf.DUMMYFUNCTION("""COMPUTED_VALUE"""),3860064.0)</f>
        <v>3860064</v>
      </c>
      <c r="D122" s="46">
        <f>IFERROR(__xludf.DUMMYFUNCTION("""COMPUTED_VALUE"""),2039564.0)</f>
        <v>2039564</v>
      </c>
      <c r="E122" s="46">
        <f>IFERROR(__xludf.DUMMYFUNCTION("""COMPUTED_VALUE"""),2666207.0)</f>
        <v>2666207</v>
      </c>
      <c r="F122" s="46">
        <f>IFERROR(__xludf.DUMMYFUNCTION("""COMPUTED_VALUE"""),2334995.0)</f>
        <v>2334995</v>
      </c>
      <c r="G122" s="46">
        <f>IFERROR(__xludf.DUMMYFUNCTION("""COMPUTED_VALUE"""),2106919.0)</f>
        <v>2106919</v>
      </c>
      <c r="H122" s="24"/>
      <c r="I122" s="46">
        <f>IFERROR(__xludf.DUMMYFUNCTION("""COMPUTED_VALUE"""),1461211.0)</f>
        <v>1461211</v>
      </c>
      <c r="J122" s="46">
        <f>IFERROR(__xludf.DUMMYFUNCTION("""COMPUTED_VALUE"""),1458808.0)</f>
        <v>1458808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IFERROR(__xludf.DUMMYFUNCTION("IMPORTRANGE(""https://docs.google.com/spreadsheets/d/1SlHuJEDBJ4Gy3WXeRPN-U9OYonTEM2Yhh4rIuiFr5bQ/edit#gid=256474166"",""管他!A:S"")"),"2022年度")</f>
        <v>2022年度</v>
      </c>
      <c r="B1" s="38">
        <f>IFERROR(__xludf.DUMMYFUNCTION("""COMPUTED_VALUE"""),12.0)</f>
        <v>12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IFERROR(__xludf.DUMMYFUNCTION("""COMPUTED_VALUE"""),"管理その他")</f>
        <v>管理その他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IFERROR(__xludf.DUMMYFUNCTION("""COMPUTED_VALUE"""),0.0)</f>
        <v>0</v>
      </c>
      <c r="C3" s="44">
        <f>IFERROR(__xludf.DUMMYFUNCTION("""COMPUTED_VALUE"""),0.0)</f>
        <v>0</v>
      </c>
      <c r="D3" s="44">
        <f>IFERROR(__xludf.DUMMYFUNCTION("""COMPUTED_VALUE"""),0.0)</f>
        <v>0</v>
      </c>
      <c r="E3" s="44">
        <f>IFERROR(__xludf.DUMMYFUNCTION("""COMPUTED_VALUE"""),0.0)</f>
        <v>0</v>
      </c>
      <c r="F3" s="44">
        <f>IFERROR(__xludf.DUMMYFUNCTION("""COMPUTED_VALUE"""),0.0)</f>
        <v>0</v>
      </c>
      <c r="G3" s="44">
        <f>IFERROR(__xludf.DUMMYFUNCTION("""COMPUTED_VALUE"""),0.0)</f>
        <v>0</v>
      </c>
      <c r="H3" s="24"/>
      <c r="I3" s="44">
        <f>IFERROR(__xludf.DUMMYFUNCTION("""COMPUTED_VALUE"""),0.0)</f>
        <v>0</v>
      </c>
      <c r="J3" s="44">
        <f>IFERROR(__xludf.DUMMYFUNCTION("""COMPUTED_VALUE"""),0.0)</f>
        <v>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IFERROR(__xludf.DUMMYFUNCTION("""COMPUTED_VALUE"""),0.0)</f>
        <v>0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 t="str">
        <f>IFERROR(__xludf.DUMMYFUNCTION("""COMPUTED_VALUE"""),"")</f>
        <v/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 t="str">
        <f>IFERROR(__xludf.DUMMYFUNCTION("""COMPUTED_VALUE"""),"")</f>
        <v/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 t="str">
        <f>IFERROR(__xludf.DUMMYFUNCTION("""COMPUTED_VALUE"""),"")</f>
        <v/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 t="str">
        <f>IFERROR(__xludf.DUMMYFUNCTION("""COMPUTED_VALUE"""),"")</f>
        <v/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 t="str">
        <f>IFERROR(__xludf.DUMMYFUNCTION("""COMPUTED_VALUE"""),"")</f>
        <v/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 t="str">
        <f>IFERROR(__xludf.DUMMYFUNCTION("""COMPUTED_VALUE"""),"")</f>
        <v/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 t="str">
        <f>IFERROR(__xludf.DUMMYFUNCTION("""COMPUTED_VALUE"""),"")</f>
        <v/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 t="str">
        <f>IFERROR(__xludf.DUMMYFUNCTION("""COMPUTED_VALUE"""),"")</f>
        <v/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 t="str">
        <f>IFERROR(__xludf.DUMMYFUNCTION("""COMPUTED_VALUE"""),"")</f>
        <v/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 t="str">
        <f>IFERROR(__xludf.DUMMYFUNCTION("""COMPUTED_VALUE"""),"")</f>
        <v/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 t="str">
        <f>IFERROR(__xludf.DUMMYFUNCTION("""COMPUTED_VALUE"""),"")</f>
        <v/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 t="str">
        <f>IFERROR(__xludf.DUMMYFUNCTION("""COMPUTED_VALUE"""),"")</f>
        <v/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 t="str">
        <f>IFERROR(__xludf.DUMMYFUNCTION("""COMPUTED_VALUE"""),"")</f>
        <v/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IFERROR(__xludf.DUMMYFUNCTION("""COMPUTED_VALUE"""),0.0)</f>
        <v>0</v>
      </c>
      <c r="C29" s="44">
        <f>IFERROR(__xludf.DUMMYFUNCTION("""COMPUTED_VALUE"""),0.0)</f>
        <v>0</v>
      </c>
      <c r="D29" s="44">
        <f>IFERROR(__xludf.DUMMYFUNCTION("""COMPUTED_VALUE"""),0.0)</f>
        <v>0</v>
      </c>
      <c r="E29" s="44">
        <f>IFERROR(__xludf.DUMMYFUNCTION("""COMPUTED_VALUE"""),0.0)</f>
        <v>0</v>
      </c>
      <c r="F29" s="44">
        <f>IFERROR(__xludf.DUMMYFUNCTION("""COMPUTED_VALUE"""),0.0)</f>
        <v>0</v>
      </c>
      <c r="G29" s="44">
        <f>IFERROR(__xludf.DUMMYFUNCTION("""COMPUTED_VALUE"""),0.0)</f>
        <v>0</v>
      </c>
      <c r="H29" s="24"/>
      <c r="I29" s="44">
        <f>IFERROR(__xludf.DUMMYFUNCTION("""COMPUTED_VALUE"""),0.0)</f>
        <v>0</v>
      </c>
      <c r="J29" s="44">
        <f>IFERROR(__xludf.DUMMYFUNCTION("""COMPUTED_VALUE"""),0.0)</f>
        <v>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IFERROR(__xludf.DUMMYFUNCTION("""COMPUTED_VALUE"""),0.0)</f>
        <v>0</v>
      </c>
      <c r="P29" s="45" t="str">
        <f>IFERROR(__xludf.DUMMYFUNCTION("""COMPUTED_VALUE"""),"")</f>
        <v/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 t="str">
        <f>IFERROR(__xludf.DUMMYFUNCTION("""COMPUTED_VALUE"""),"")</f>
        <v/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 t="str">
        <f>IFERROR(__xludf.DUMMYFUNCTION("""COMPUTED_VALUE"""),"")</f>
        <v/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 t="str">
        <f>IFERROR(__xludf.DUMMYFUNCTION("""COMPUTED_VALUE"""),"")</f>
        <v/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 t="str">
        <f>IFERROR(__xludf.DUMMYFUNCTION("""COMPUTED_VALUE"""),"")</f>
        <v/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 t="str">
        <f>IFERROR(__xludf.DUMMYFUNCTION("""COMPUTED_VALUE"""),"")</f>
        <v/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 t="str">
        <f>IFERROR(__xludf.DUMMYFUNCTION("""COMPUTED_VALUE"""),"")</f>
        <v/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 t="str">
        <f>IFERROR(__xludf.DUMMYFUNCTION("""COMPUTED_VALUE"""),"")</f>
        <v/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 t="str">
        <f>IFERROR(__xludf.DUMMYFUNCTION("""COMPUTED_VALUE"""),"")</f>
        <v/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 t="str">
        <f>IFERROR(__xludf.DUMMYFUNCTION("""COMPUTED_VALUE"""),"")</f>
        <v/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 t="str">
        <f>IFERROR(__xludf.DUMMYFUNCTION("""COMPUTED_VALUE"""),"")</f>
        <v/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 t="str">
        <f>IFERROR(__xludf.DUMMYFUNCTION("""COMPUTED_VALUE"""),"")</f>
        <v/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 t="str">
        <f>IFERROR(__xludf.DUMMYFUNCTION("""COMPUTED_VALUE"""),"")</f>
        <v/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 t="str">
        <f>IFERROR(__xludf.DUMMYFUNCTION("""COMPUTED_VALUE"""),"")</f>
        <v/>
      </c>
      <c r="C42" s="49" t="str">
        <f>IFERROR(__xludf.DUMMYFUNCTION("""COMPUTED_VALUE"""),"")</f>
        <v/>
      </c>
      <c r="D42" s="49" t="str">
        <f>IFERROR(__xludf.DUMMYFUNCTION("""COMPUTED_VALUE"""),"")</f>
        <v/>
      </c>
      <c r="E42" s="49" t="str">
        <f>IFERROR(__xludf.DUMMYFUNCTION("""COMPUTED_VALUE"""),"")</f>
        <v/>
      </c>
      <c r="F42" s="49" t="str">
        <f>IFERROR(__xludf.DUMMYFUNCTION("""COMPUTED_VALUE"""),"")</f>
        <v/>
      </c>
      <c r="G42" s="49" t="str">
        <f>IFERROR(__xludf.DUMMYFUNCTION("""COMPUTED_VALUE"""),"")</f>
        <v/>
      </c>
      <c r="H42" s="16"/>
      <c r="I42" s="49" t="str">
        <f>IFERROR(__xludf.DUMMYFUNCTION("""COMPUTED_VALUE"""),"")</f>
        <v/>
      </c>
      <c r="J42" s="49" t="str">
        <f>IFERROR(__xludf.DUMMYFUNCTION("""COMPUTED_VALUE"""),"")</f>
        <v/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 t="str">
        <f>IFERROR(__xludf.DUMMYFUNCTION("""COMPUTED_VALUE"""),"")</f>
        <v/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90">
        <f>IFERROR(__xludf.DUMMYFUNCTION("""COMPUTED_VALUE"""),1.2965984363636363E7)</f>
        <v>12965984.36</v>
      </c>
      <c r="C44" s="44">
        <f>IFERROR(__xludf.DUMMYFUNCTION("""COMPUTED_VALUE"""),1.6718061363636363E7)</f>
        <v>16718061.36</v>
      </c>
      <c r="D44" s="44">
        <f>IFERROR(__xludf.DUMMYFUNCTION("""COMPUTED_VALUE"""),8758922.363636363)</f>
        <v>8758922.364</v>
      </c>
      <c r="E44" s="44">
        <f>IFERROR(__xludf.DUMMYFUNCTION("""COMPUTED_VALUE"""),1.3097623363636363E7)</f>
        <v>13097623.36</v>
      </c>
      <c r="F44" s="44">
        <f>IFERROR(__xludf.DUMMYFUNCTION("""COMPUTED_VALUE"""),2.3886751363636363E7)</f>
        <v>23886751.36</v>
      </c>
      <c r="G44" s="44">
        <f>IFERROR(__xludf.DUMMYFUNCTION("""COMPUTED_VALUE"""),1.2946411363636363E7)</f>
        <v>12946411.36</v>
      </c>
      <c r="H44" s="49"/>
      <c r="I44" s="44">
        <f>IFERROR(__xludf.DUMMYFUNCTION("""COMPUTED_VALUE"""),1.5149799363636363E7)</f>
        <v>15149799.36</v>
      </c>
      <c r="J44" s="44">
        <f>IFERROR(__xludf.DUMMYFUNCTION("""COMPUTED_VALUE"""),1.3137048363636363E7)</f>
        <v>13137048.36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IFERROR(__xludf.DUMMYFUNCTION("""COMPUTED_VALUE"""),1.166606019090909E8)</f>
        <v>116660601.9</v>
      </c>
      <c r="P44" s="22" t="str">
        <f>IFERROR(__xludf.DUMMYFUNCTION("""COMPUTED_VALUE"""),"")</f>
        <v/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IFERROR(__xludf.DUMMYFUNCTION("""COMPUTED_VALUE"""),0.0)</f>
        <v>0</v>
      </c>
      <c r="C45" s="24">
        <f>IFERROR(__xludf.DUMMYFUNCTION("""COMPUTED_VALUE"""),0.0)</f>
        <v>0</v>
      </c>
      <c r="D45" s="24">
        <f>IFERROR(__xludf.DUMMYFUNCTION("""COMPUTED_VALUE"""),0.0)</f>
        <v>0</v>
      </c>
      <c r="E45" s="24">
        <f>IFERROR(__xludf.DUMMYFUNCTION("""COMPUTED_VALUE"""),0.0)</f>
        <v>0</v>
      </c>
      <c r="F45" s="24">
        <f>IFERROR(__xludf.DUMMYFUNCTION("""COMPUTED_VALUE"""),0.0)</f>
        <v>0</v>
      </c>
      <c r="G45" s="24">
        <f>IFERROR(__xludf.DUMMYFUNCTION("""COMPUTED_VALUE"""),0.0)</f>
        <v>0</v>
      </c>
      <c r="H45" s="24">
        <f>IFERROR(__xludf.DUMMYFUNCTION("""COMPUTED_VALUE"""),0.0)</f>
        <v>0</v>
      </c>
      <c r="I45" s="24">
        <f>IFERROR(__xludf.DUMMYFUNCTION("""COMPUTED_VALUE"""),0.0)</f>
        <v>0</v>
      </c>
      <c r="J45" s="24">
        <f>IFERROR(__xludf.DUMMYFUNCTION("""COMPUTED_VALUE"""),0.0)</f>
        <v>0</v>
      </c>
      <c r="K45" s="24">
        <f>IFERROR(__xludf.DUMMYFUNCTION("""COMPUTED_VALUE"""),0.0)</f>
        <v>0</v>
      </c>
      <c r="L45" s="24">
        <f>IFERROR(__xludf.DUMMYFUNCTION("""COMPUTED_VALUE"""),0.0)</f>
        <v>0</v>
      </c>
      <c r="M45" s="24">
        <f>IFERROR(__xludf.DUMMYFUNCTION("""COMPUTED_VALUE"""),0.0)</f>
        <v>0</v>
      </c>
      <c r="N45" s="24">
        <f>IFERROR(__xludf.DUMMYFUNCTION("""COMPUTED_VALUE"""),0.0)</f>
        <v>0</v>
      </c>
      <c r="O45" s="24">
        <f>IFERROR(__xludf.DUMMYFUNCTION("""COMPUTED_VALUE"""),0.0)</f>
        <v>0</v>
      </c>
      <c r="P45" s="16">
        <f>IFERROR(__xludf.DUMMYFUNCTION("""COMPUTED_VALUE"""),0.0)</f>
        <v>0</v>
      </c>
      <c r="Q45" s="16"/>
    </row>
    <row r="46" ht="15.75" customHeight="1">
      <c r="A46" s="51" t="str">
        <f>IFERROR(__xludf.DUMMYFUNCTION("""COMPUTED_VALUE"""),"電話料金")</f>
        <v>電話料金</v>
      </c>
      <c r="B46" s="70"/>
      <c r="C46" s="11"/>
      <c r="D46" s="11"/>
      <c r="E46" s="11">
        <f>IFERROR(__xludf.DUMMYFUNCTION("""COMPUTED_VALUE"""),0.0)</f>
        <v>0</v>
      </c>
      <c r="F46" s="11">
        <f>IFERROR(__xludf.DUMMYFUNCTION("""COMPUTED_VALUE"""),0.0)</f>
        <v>0</v>
      </c>
      <c r="G46" s="11">
        <f>IFERROR(__xludf.DUMMYFUNCTION("""COMPUTED_VALUE"""),0.0)</f>
        <v>0</v>
      </c>
      <c r="H46" s="66"/>
      <c r="I46" s="11">
        <f>IFERROR(__xludf.DUMMYFUNCTION("""COMPUTED_VALUE"""),0.0)</f>
        <v>0</v>
      </c>
      <c r="J46" s="11">
        <f>IFERROR(__xludf.DUMMYFUNCTION("""COMPUTED_VALUE"""),0.0)</f>
        <v>0</v>
      </c>
      <c r="K46" s="11"/>
      <c r="L46" s="11"/>
      <c r="M46" s="11"/>
      <c r="N46" s="11"/>
      <c r="O46" s="77">
        <f>IFERROR(__xludf.DUMMYFUNCTION("""COMPUTED_VALUE"""),0.0)</f>
        <v>0</v>
      </c>
      <c r="P46" s="78" t="str">
        <f>IFERROR(__xludf.DUMMYFUNCTION("""COMPUTED_VALUE"""),"")</f>
        <v/>
      </c>
      <c r="Q46" s="16"/>
    </row>
    <row r="47" ht="15.75" customHeight="1">
      <c r="A47" s="51" t="str">
        <f>IFERROR(__xludf.DUMMYFUNCTION("""COMPUTED_VALUE"""),"送料")</f>
        <v>送料</v>
      </c>
      <c r="B47" s="70"/>
      <c r="C47" s="11"/>
      <c r="D47" s="11"/>
      <c r="E47" s="11">
        <f>IFERROR(__xludf.DUMMYFUNCTION("""COMPUTED_VALUE"""),0.0)</f>
        <v>0</v>
      </c>
      <c r="F47" s="11">
        <f>IFERROR(__xludf.DUMMYFUNCTION("""COMPUTED_VALUE"""),0.0)</f>
        <v>0</v>
      </c>
      <c r="G47" s="11">
        <f>IFERROR(__xludf.DUMMYFUNCTION("""COMPUTED_VALUE"""),0.0)</f>
        <v>0</v>
      </c>
      <c r="H47" s="66"/>
      <c r="I47" s="11">
        <f>IFERROR(__xludf.DUMMYFUNCTION("""COMPUTED_VALUE"""),0.0)</f>
        <v>0</v>
      </c>
      <c r="J47" s="11">
        <f>IFERROR(__xludf.DUMMYFUNCTION("""COMPUTED_VALUE"""),0.0)</f>
        <v>0</v>
      </c>
      <c r="K47" s="11"/>
      <c r="L47" s="11"/>
      <c r="M47" s="11"/>
      <c r="N47" s="11"/>
      <c r="O47" s="77">
        <f>IFERROR(__xludf.DUMMYFUNCTION("""COMPUTED_VALUE"""),0.0)</f>
        <v>0</v>
      </c>
      <c r="P47" s="78" t="str">
        <f>IFERROR(__xludf.DUMMYFUNCTION("""COMPUTED_VALUE"""),"")</f>
        <v/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70"/>
      <c r="C48" s="11"/>
      <c r="D48" s="11"/>
      <c r="E48" s="11">
        <f>IFERROR(__xludf.DUMMYFUNCTION("""COMPUTED_VALUE"""),0.0)</f>
        <v>0</v>
      </c>
      <c r="F48" s="11">
        <f>IFERROR(__xludf.DUMMYFUNCTION("""COMPUTED_VALUE"""),0.0)</f>
        <v>0</v>
      </c>
      <c r="G48" s="11">
        <f>IFERROR(__xludf.DUMMYFUNCTION("""COMPUTED_VALUE"""),0.0)</f>
        <v>0</v>
      </c>
      <c r="H48" s="66"/>
      <c r="I48" s="11">
        <f>IFERROR(__xludf.DUMMYFUNCTION("""COMPUTED_VALUE"""),0.0)</f>
        <v>0</v>
      </c>
      <c r="J48" s="11">
        <f>IFERROR(__xludf.DUMMYFUNCTION("""COMPUTED_VALUE"""),0.0)</f>
        <v>0</v>
      </c>
      <c r="K48" s="11"/>
      <c r="L48" s="11"/>
      <c r="M48" s="11"/>
      <c r="N48" s="11"/>
      <c r="O48" s="77">
        <f>IFERROR(__xludf.DUMMYFUNCTION("""COMPUTED_VALUE"""),0.0)</f>
        <v>0</v>
      </c>
      <c r="P48" s="78" t="str">
        <f>IFERROR(__xludf.DUMMYFUNCTION("""COMPUTED_VALUE"""),"")</f>
        <v/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11"/>
      <c r="D49" s="11"/>
      <c r="E49" s="11">
        <f>IFERROR(__xludf.DUMMYFUNCTION("""COMPUTED_VALUE"""),0.0)</f>
        <v>0</v>
      </c>
      <c r="F49" s="11">
        <f>IFERROR(__xludf.DUMMYFUNCTION("""COMPUTED_VALUE"""),0.0)</f>
        <v>0</v>
      </c>
      <c r="G49" s="11">
        <f>IFERROR(__xludf.DUMMYFUNCTION("""COMPUTED_VALUE"""),0.0)</f>
        <v>0</v>
      </c>
      <c r="H49" s="66"/>
      <c r="I49" s="11">
        <f>IFERROR(__xludf.DUMMYFUNCTION("""COMPUTED_VALUE"""),0.0)</f>
        <v>0</v>
      </c>
      <c r="J49" s="11">
        <f>IFERROR(__xludf.DUMMYFUNCTION("""COMPUTED_VALUE"""),0.0)</f>
        <v>0</v>
      </c>
      <c r="K49" s="11"/>
      <c r="L49" s="11"/>
      <c r="M49" s="11"/>
      <c r="N49" s="11"/>
      <c r="O49" s="77">
        <f>IFERROR(__xludf.DUMMYFUNCTION("""COMPUTED_VALUE"""),0.0)</f>
        <v>0</v>
      </c>
      <c r="P49" s="78" t="str">
        <f>IFERROR(__xludf.DUMMYFUNCTION("""COMPUTED_VALUE"""),"")</f>
        <v/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11"/>
      <c r="D50" s="11"/>
      <c r="E50" s="11">
        <f>IFERROR(__xludf.DUMMYFUNCTION("""COMPUTED_VALUE"""),0.0)</f>
        <v>0</v>
      </c>
      <c r="F50" s="11">
        <f>IFERROR(__xludf.DUMMYFUNCTION("""COMPUTED_VALUE"""),0.0)</f>
        <v>0</v>
      </c>
      <c r="G50" s="11">
        <f>IFERROR(__xludf.DUMMYFUNCTION("""COMPUTED_VALUE"""),0.0)</f>
        <v>0</v>
      </c>
      <c r="H50" s="66"/>
      <c r="I50" s="11">
        <f>IFERROR(__xludf.DUMMYFUNCTION("""COMPUTED_VALUE"""),0.0)</f>
        <v>0</v>
      </c>
      <c r="J50" s="11">
        <f>IFERROR(__xludf.DUMMYFUNCTION("""COMPUTED_VALUE"""),0.0)</f>
        <v>0</v>
      </c>
      <c r="K50" s="11"/>
      <c r="L50" s="11"/>
      <c r="M50" s="11"/>
      <c r="N50" s="11"/>
      <c r="O50" s="24">
        <f>IFERROR(__xludf.DUMMYFUNCTION("""COMPUTED_VALUE"""),0.0)</f>
        <v>0</v>
      </c>
      <c r="P50" s="16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70"/>
      <c r="C51" s="11"/>
      <c r="D51" s="11"/>
      <c r="E51" s="11">
        <f>IFERROR(__xludf.DUMMYFUNCTION("""COMPUTED_VALUE"""),0.0)</f>
        <v>0</v>
      </c>
      <c r="F51" s="11">
        <f>IFERROR(__xludf.DUMMYFUNCTION("""COMPUTED_VALUE"""),0.0)</f>
        <v>0</v>
      </c>
      <c r="G51" s="11">
        <f>IFERROR(__xludf.DUMMYFUNCTION("""COMPUTED_VALUE"""),0.0)</f>
        <v>0</v>
      </c>
      <c r="H51" s="66"/>
      <c r="I51" s="11">
        <f>IFERROR(__xludf.DUMMYFUNCTION("""COMPUTED_VALUE"""),0.0)</f>
        <v>0</v>
      </c>
      <c r="J51" s="11">
        <f>IFERROR(__xludf.DUMMYFUNCTION("""COMPUTED_VALUE"""),0.0)</f>
        <v>0</v>
      </c>
      <c r="K51" s="11"/>
      <c r="L51" s="11"/>
      <c r="M51" s="11"/>
      <c r="N51" s="11"/>
      <c r="O51" s="24">
        <f>IFERROR(__xludf.DUMMYFUNCTION("""COMPUTED_VALUE"""),0.0)</f>
        <v>0</v>
      </c>
      <c r="P51" s="16">
        <f>IFERROR(__xludf.DUMMYFUNCTION("""COMPUTED_VALUE"""),0.0)</f>
        <v>0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IFERROR(__xludf.DUMMYFUNCTION("""COMPUTED_VALUE"""),0.0)</f>
        <v>0</v>
      </c>
      <c r="C52" s="24">
        <f>IFERROR(__xludf.DUMMYFUNCTION("""COMPUTED_VALUE"""),0.0)</f>
        <v>0</v>
      </c>
      <c r="D52" s="24">
        <f>IFERROR(__xludf.DUMMYFUNCTION("""COMPUTED_VALUE"""),0.0)</f>
        <v>0</v>
      </c>
      <c r="E52" s="24">
        <f>IFERROR(__xludf.DUMMYFUNCTION("""COMPUTED_VALUE"""),0.0)</f>
        <v>0</v>
      </c>
      <c r="F52" s="24">
        <f>IFERROR(__xludf.DUMMYFUNCTION("""COMPUTED_VALUE"""),0.0)</f>
        <v>0</v>
      </c>
      <c r="G52" s="24">
        <f>IFERROR(__xludf.DUMMYFUNCTION("""COMPUTED_VALUE"""),0.0)</f>
        <v>0</v>
      </c>
      <c r="H52" s="24">
        <f>IFERROR(__xludf.DUMMYFUNCTION("""COMPUTED_VALUE"""),0.0)</f>
        <v>0</v>
      </c>
      <c r="I52" s="24">
        <f>IFERROR(__xludf.DUMMYFUNCTION("""COMPUTED_VALUE"""),0.0)</f>
        <v>0</v>
      </c>
      <c r="J52" s="24">
        <f>IFERROR(__xludf.DUMMYFUNCTION("""COMPUTED_VALUE"""),0.0)</f>
        <v>0</v>
      </c>
      <c r="K52" s="24">
        <f>IFERROR(__xludf.DUMMYFUNCTION("""COMPUTED_VALUE"""),0.0)</f>
        <v>0</v>
      </c>
      <c r="L52" s="24">
        <f>IFERROR(__xludf.DUMMYFUNCTION("""COMPUTED_VALUE"""),0.0)</f>
        <v>0</v>
      </c>
      <c r="M52" s="24">
        <f>IFERROR(__xludf.DUMMYFUNCTION("""COMPUTED_VALUE"""),0.0)</f>
        <v>0</v>
      </c>
      <c r="N52" s="24">
        <f>IFERROR(__xludf.DUMMYFUNCTION("""COMPUTED_VALUE"""),0.0)</f>
        <v>0</v>
      </c>
      <c r="O52" s="24">
        <f>IFERROR(__xludf.DUMMYFUNCTION("""COMPUTED_VALUE"""),0.0)</f>
        <v>0</v>
      </c>
      <c r="P52" s="16">
        <f>IFERROR(__xludf.DUMMYFUNCTION("""COMPUTED_VALUE"""),0.0)</f>
        <v>0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11"/>
      <c r="D53" s="11"/>
      <c r="E53" s="11">
        <f>IFERROR(__xludf.DUMMYFUNCTION("""COMPUTED_VALUE"""),0.0)</f>
        <v>0</v>
      </c>
      <c r="F53" s="11">
        <f>IFERROR(__xludf.DUMMYFUNCTION("""COMPUTED_VALUE"""),0.0)</f>
        <v>0</v>
      </c>
      <c r="G53" s="11">
        <f>IFERROR(__xludf.DUMMYFUNCTION("""COMPUTED_VALUE"""),0.0)</f>
        <v>0</v>
      </c>
      <c r="H53" s="66"/>
      <c r="I53" s="11">
        <f>IFERROR(__xludf.DUMMYFUNCTION("""COMPUTED_VALUE"""),0.0)</f>
        <v>0</v>
      </c>
      <c r="J53" s="11">
        <f>IFERROR(__xludf.DUMMYFUNCTION("""COMPUTED_VALUE"""),0.0)</f>
        <v>0</v>
      </c>
      <c r="K53" s="11"/>
      <c r="L53" s="11"/>
      <c r="M53" s="11"/>
      <c r="N53" s="11"/>
      <c r="O53" s="77">
        <f>IFERROR(__xludf.DUMMYFUNCTION("""COMPUTED_VALUE"""),0.0)</f>
        <v>0</v>
      </c>
      <c r="P53" s="78" t="str">
        <f>IFERROR(__xludf.DUMMYFUNCTION("""COMPUTED_VALUE"""),"")</f>
        <v/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11"/>
      <c r="D54" s="11"/>
      <c r="E54" s="11">
        <f>IFERROR(__xludf.DUMMYFUNCTION("""COMPUTED_VALUE"""),0.0)</f>
        <v>0</v>
      </c>
      <c r="F54" s="11">
        <f>IFERROR(__xludf.DUMMYFUNCTION("""COMPUTED_VALUE"""),0.0)</f>
        <v>0</v>
      </c>
      <c r="G54" s="11">
        <f>IFERROR(__xludf.DUMMYFUNCTION("""COMPUTED_VALUE"""),0.0)</f>
        <v>0</v>
      </c>
      <c r="H54" s="66"/>
      <c r="I54" s="11">
        <f>IFERROR(__xludf.DUMMYFUNCTION("""COMPUTED_VALUE"""),0.0)</f>
        <v>0</v>
      </c>
      <c r="J54" s="11">
        <f>IFERROR(__xludf.DUMMYFUNCTION("""COMPUTED_VALUE"""),0.0)</f>
        <v>0</v>
      </c>
      <c r="K54" s="11"/>
      <c r="L54" s="11"/>
      <c r="M54" s="11"/>
      <c r="N54" s="11"/>
      <c r="O54" s="77">
        <f>IFERROR(__xludf.DUMMYFUNCTION("""COMPUTED_VALUE"""),0.0)</f>
        <v>0</v>
      </c>
      <c r="P54" s="78" t="str">
        <f>IFERROR(__xludf.DUMMYFUNCTION("""COMPUTED_VALUE"""),"")</f>
        <v/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11"/>
      <c r="D55" s="11"/>
      <c r="E55" s="11">
        <f>IFERROR(__xludf.DUMMYFUNCTION("""COMPUTED_VALUE"""),0.0)</f>
        <v>0</v>
      </c>
      <c r="F55" s="11">
        <f>IFERROR(__xludf.DUMMYFUNCTION("""COMPUTED_VALUE"""),0.0)</f>
        <v>0</v>
      </c>
      <c r="G55" s="11">
        <f>IFERROR(__xludf.DUMMYFUNCTION("""COMPUTED_VALUE"""),0.0)</f>
        <v>0</v>
      </c>
      <c r="H55" s="66"/>
      <c r="I55" s="11">
        <f>IFERROR(__xludf.DUMMYFUNCTION("""COMPUTED_VALUE"""),0.0)</f>
        <v>0</v>
      </c>
      <c r="J55" s="11">
        <f>IFERROR(__xludf.DUMMYFUNCTION("""COMPUTED_VALUE"""),0.0)</f>
        <v>0</v>
      </c>
      <c r="K55" s="11"/>
      <c r="L55" s="11"/>
      <c r="M55" s="11"/>
      <c r="N55" s="11"/>
      <c r="O55" s="77">
        <f>IFERROR(__xludf.DUMMYFUNCTION("""COMPUTED_VALUE"""),0.0)</f>
        <v>0</v>
      </c>
      <c r="P55" s="78" t="str">
        <f>IFERROR(__xludf.DUMMYFUNCTION("""COMPUTED_VALUE"""),"")</f>
        <v/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11"/>
      <c r="D56" s="11"/>
      <c r="E56" s="11">
        <f>IFERROR(__xludf.DUMMYFUNCTION("""COMPUTED_VALUE"""),0.0)</f>
        <v>0</v>
      </c>
      <c r="F56" s="11">
        <f>IFERROR(__xludf.DUMMYFUNCTION("""COMPUTED_VALUE"""),0.0)</f>
        <v>0</v>
      </c>
      <c r="G56" s="11">
        <f>IFERROR(__xludf.DUMMYFUNCTION("""COMPUTED_VALUE"""),0.0)</f>
        <v>0</v>
      </c>
      <c r="H56" s="66"/>
      <c r="I56" s="11">
        <f>IFERROR(__xludf.DUMMYFUNCTION("""COMPUTED_VALUE"""),0.0)</f>
        <v>0</v>
      </c>
      <c r="J56" s="11">
        <f>IFERROR(__xludf.DUMMYFUNCTION("""COMPUTED_VALUE"""),0.0)</f>
        <v>0</v>
      </c>
      <c r="K56" s="11"/>
      <c r="L56" s="11"/>
      <c r="M56" s="11"/>
      <c r="N56" s="11"/>
      <c r="O56" s="77">
        <f>IFERROR(__xludf.DUMMYFUNCTION("""COMPUTED_VALUE"""),0.0)</f>
        <v>0</v>
      </c>
      <c r="P56" s="78" t="str">
        <f>IFERROR(__xludf.DUMMYFUNCTION("""COMPUTED_VALUE"""),"")</f>
        <v/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11"/>
      <c r="D57" s="11"/>
      <c r="E57" s="11">
        <f>IFERROR(__xludf.DUMMYFUNCTION("""COMPUTED_VALUE"""),0.0)</f>
        <v>0</v>
      </c>
      <c r="F57" s="11">
        <f>IFERROR(__xludf.DUMMYFUNCTION("""COMPUTED_VALUE"""),0.0)</f>
        <v>0</v>
      </c>
      <c r="G57" s="11">
        <f>IFERROR(__xludf.DUMMYFUNCTION("""COMPUTED_VALUE"""),0.0)</f>
        <v>0</v>
      </c>
      <c r="H57" s="66"/>
      <c r="I57" s="11">
        <f>IFERROR(__xludf.DUMMYFUNCTION("""COMPUTED_VALUE"""),0.0)</f>
        <v>0</v>
      </c>
      <c r="J57" s="11">
        <f>IFERROR(__xludf.DUMMYFUNCTION("""COMPUTED_VALUE"""),0.0)</f>
        <v>0</v>
      </c>
      <c r="K57" s="11"/>
      <c r="L57" s="11"/>
      <c r="M57" s="11"/>
      <c r="N57" s="11"/>
      <c r="O57" s="77">
        <f>IFERROR(__xludf.DUMMYFUNCTION("""COMPUTED_VALUE"""),0.0)</f>
        <v>0</v>
      </c>
      <c r="P57" s="78" t="str">
        <f>IFERROR(__xludf.DUMMYFUNCTION("""COMPUTED_VALUE"""),"")</f>
        <v/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11"/>
      <c r="D58" s="11"/>
      <c r="E58" s="11">
        <f>IFERROR(__xludf.DUMMYFUNCTION("""COMPUTED_VALUE"""),0.0)</f>
        <v>0</v>
      </c>
      <c r="F58" s="11">
        <f>IFERROR(__xludf.DUMMYFUNCTION("""COMPUTED_VALUE"""),0.0)</f>
        <v>0</v>
      </c>
      <c r="G58" s="11">
        <f>IFERROR(__xludf.DUMMYFUNCTION("""COMPUTED_VALUE"""),0.0)</f>
        <v>0</v>
      </c>
      <c r="H58" s="66"/>
      <c r="I58" s="11">
        <f>IFERROR(__xludf.DUMMYFUNCTION("""COMPUTED_VALUE"""),0.0)</f>
        <v>0</v>
      </c>
      <c r="J58" s="11">
        <f>IFERROR(__xludf.DUMMYFUNCTION("""COMPUTED_VALUE"""),0.0)</f>
        <v>0</v>
      </c>
      <c r="K58" s="11"/>
      <c r="L58" s="11"/>
      <c r="M58" s="11"/>
      <c r="N58" s="11"/>
      <c r="O58" s="77">
        <f>IFERROR(__xludf.DUMMYFUNCTION("""COMPUTED_VALUE"""),0.0)</f>
        <v>0</v>
      </c>
      <c r="P58" s="78" t="str">
        <f>IFERROR(__xludf.DUMMYFUNCTION("""COMPUTED_VALUE"""),"")</f>
        <v/>
      </c>
      <c r="Q58" s="16"/>
    </row>
    <row r="59" ht="15.75" customHeight="1">
      <c r="A59" s="51" t="str">
        <f>IFERROR(__xludf.DUMMYFUNCTION("""COMPUTED_VALUE"""),"求人広告費")</f>
        <v>求人広告費</v>
      </c>
      <c r="B59" s="70"/>
      <c r="C59" s="11"/>
      <c r="D59" s="11"/>
      <c r="E59" s="11">
        <f>IFERROR(__xludf.DUMMYFUNCTION("""COMPUTED_VALUE"""),0.0)</f>
        <v>0</v>
      </c>
      <c r="F59" s="11">
        <f>IFERROR(__xludf.DUMMYFUNCTION("""COMPUTED_VALUE"""),0.0)</f>
        <v>0</v>
      </c>
      <c r="G59" s="11">
        <f>IFERROR(__xludf.DUMMYFUNCTION("""COMPUTED_VALUE"""),0.0)</f>
        <v>0</v>
      </c>
      <c r="H59" s="66"/>
      <c r="I59" s="11">
        <f>IFERROR(__xludf.DUMMYFUNCTION("""COMPUTED_VALUE"""),0.0)</f>
        <v>0</v>
      </c>
      <c r="J59" s="11">
        <f>IFERROR(__xludf.DUMMYFUNCTION("""COMPUTED_VALUE"""),0.0)</f>
        <v>0</v>
      </c>
      <c r="K59" s="11"/>
      <c r="L59" s="11"/>
      <c r="M59" s="11"/>
      <c r="N59" s="11"/>
      <c r="O59" s="77">
        <f>IFERROR(__xludf.DUMMYFUNCTION("""COMPUTED_VALUE"""),0.0)</f>
        <v>0</v>
      </c>
      <c r="P59" s="78" t="str">
        <f>IFERROR(__xludf.DUMMYFUNCTION("""COMPUTED_VALUE"""),"")</f>
        <v/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11"/>
      <c r="D60" s="11"/>
      <c r="E60" s="11">
        <f>IFERROR(__xludf.DUMMYFUNCTION("""COMPUTED_VALUE"""),0.0)</f>
        <v>0</v>
      </c>
      <c r="F60" s="11">
        <f>IFERROR(__xludf.DUMMYFUNCTION("""COMPUTED_VALUE"""),0.0)</f>
        <v>0</v>
      </c>
      <c r="G60" s="11">
        <f>IFERROR(__xludf.DUMMYFUNCTION("""COMPUTED_VALUE"""),0.0)</f>
        <v>0</v>
      </c>
      <c r="H60" s="66"/>
      <c r="I60" s="11">
        <f>IFERROR(__xludf.DUMMYFUNCTION("""COMPUTED_VALUE"""),0.0)</f>
        <v>0</v>
      </c>
      <c r="J60" s="11">
        <f>IFERROR(__xludf.DUMMYFUNCTION("""COMPUTED_VALUE"""),0.0)</f>
        <v>0</v>
      </c>
      <c r="K60" s="11"/>
      <c r="L60" s="11"/>
      <c r="M60" s="11"/>
      <c r="N60" s="11"/>
      <c r="O60" s="77">
        <f>IFERROR(__xludf.DUMMYFUNCTION("""COMPUTED_VALUE"""),0.0)</f>
        <v>0</v>
      </c>
      <c r="P60" s="78" t="str">
        <f>IFERROR(__xludf.DUMMYFUNCTION("""COMPUTED_VALUE"""),"")</f>
        <v/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11"/>
      <c r="D61" s="11"/>
      <c r="E61" s="11">
        <f>IFERROR(__xludf.DUMMYFUNCTION("""COMPUTED_VALUE"""),0.0)</f>
        <v>0</v>
      </c>
      <c r="F61" s="11">
        <f>IFERROR(__xludf.DUMMYFUNCTION("""COMPUTED_VALUE"""),0.0)</f>
        <v>0</v>
      </c>
      <c r="G61" s="11">
        <f>IFERROR(__xludf.DUMMYFUNCTION("""COMPUTED_VALUE"""),0.0)</f>
        <v>0</v>
      </c>
      <c r="H61" s="66"/>
      <c r="I61" s="11">
        <f>IFERROR(__xludf.DUMMYFUNCTION("""COMPUTED_VALUE"""),0.0)</f>
        <v>0</v>
      </c>
      <c r="J61" s="11">
        <f>IFERROR(__xludf.DUMMYFUNCTION("""COMPUTED_VALUE"""),0.0)</f>
        <v>0</v>
      </c>
      <c r="K61" s="11"/>
      <c r="L61" s="11"/>
      <c r="M61" s="11"/>
      <c r="N61" s="11"/>
      <c r="O61" s="24">
        <f>IFERROR(__xludf.DUMMYFUNCTION("""COMPUTED_VALUE"""),0.0)</f>
        <v>0</v>
      </c>
      <c r="P61" s="16">
        <f>IFERROR(__xludf.DUMMYFUNCTION("""COMPUTED_VALUE"""),0.0)</f>
        <v>0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11"/>
      <c r="D62" s="11"/>
      <c r="E62" s="11">
        <f>IFERROR(__xludf.DUMMYFUNCTION("""COMPUTED_VALUE"""),0.0)</f>
        <v>0</v>
      </c>
      <c r="F62" s="11">
        <f>IFERROR(__xludf.DUMMYFUNCTION("""COMPUTED_VALUE"""),0.0)</f>
        <v>0</v>
      </c>
      <c r="G62" s="11">
        <f>IFERROR(__xludf.DUMMYFUNCTION("""COMPUTED_VALUE"""),0.0)</f>
        <v>0</v>
      </c>
      <c r="H62" s="66"/>
      <c r="I62" s="11">
        <f>IFERROR(__xludf.DUMMYFUNCTION("""COMPUTED_VALUE"""),0.0)</f>
        <v>0</v>
      </c>
      <c r="J62" s="11">
        <f>IFERROR(__xludf.DUMMYFUNCTION("""COMPUTED_VALUE"""),0.0)</f>
        <v>0</v>
      </c>
      <c r="K62" s="11"/>
      <c r="L62" s="11"/>
      <c r="M62" s="11"/>
      <c r="N62" s="11"/>
      <c r="O62" s="24">
        <f>IFERROR(__xludf.DUMMYFUNCTION("""COMPUTED_VALUE"""),0.0)</f>
        <v>0</v>
      </c>
      <c r="P62" s="16">
        <f>IFERROR(__xludf.DUMMYFUNCTION("""COMPUTED_VALUE"""),0.0)</f>
        <v>0</v>
      </c>
      <c r="Q62" s="16"/>
    </row>
    <row r="63" ht="15.75" customHeight="1">
      <c r="A63" s="48" t="str">
        <f>IFERROR(__xludf.DUMMYFUNCTION("""COMPUTED_VALUE"""),"会議費")</f>
        <v>会議費</v>
      </c>
      <c r="B63" s="70"/>
      <c r="C63" s="11"/>
      <c r="D63" s="11"/>
      <c r="E63" s="11">
        <f>IFERROR(__xludf.DUMMYFUNCTION("""COMPUTED_VALUE"""),0.0)</f>
        <v>0</v>
      </c>
      <c r="F63" s="11">
        <f>IFERROR(__xludf.DUMMYFUNCTION("""COMPUTED_VALUE"""),0.0)</f>
        <v>0</v>
      </c>
      <c r="G63" s="11">
        <f>IFERROR(__xludf.DUMMYFUNCTION("""COMPUTED_VALUE"""),0.0)</f>
        <v>0</v>
      </c>
      <c r="H63" s="66"/>
      <c r="I63" s="11">
        <f>IFERROR(__xludf.DUMMYFUNCTION("""COMPUTED_VALUE"""),0.0)</f>
        <v>0</v>
      </c>
      <c r="J63" s="11">
        <f>IFERROR(__xludf.DUMMYFUNCTION("""COMPUTED_VALUE"""),0.0)</f>
        <v>0</v>
      </c>
      <c r="K63" s="11"/>
      <c r="L63" s="11"/>
      <c r="M63" s="11"/>
      <c r="N63" s="11"/>
      <c r="O63" s="24">
        <f>IFERROR(__xludf.DUMMYFUNCTION("""COMPUTED_VALUE"""),0.0)</f>
        <v>0</v>
      </c>
      <c r="P63" s="16">
        <f>IFERROR(__xludf.DUMMYFUNCTION("""COMPUTED_VALUE"""),0.0)</f>
        <v>0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11"/>
      <c r="D64" s="11"/>
      <c r="E64" s="11">
        <f>IFERROR(__xludf.DUMMYFUNCTION("""COMPUTED_VALUE"""),0.0)</f>
        <v>0</v>
      </c>
      <c r="F64" s="11">
        <f>IFERROR(__xludf.DUMMYFUNCTION("""COMPUTED_VALUE"""),0.0)</f>
        <v>0</v>
      </c>
      <c r="G64" s="11">
        <f>IFERROR(__xludf.DUMMYFUNCTION("""COMPUTED_VALUE"""),0.0)</f>
        <v>0</v>
      </c>
      <c r="H64" s="66"/>
      <c r="I64" s="11">
        <f>IFERROR(__xludf.DUMMYFUNCTION("""COMPUTED_VALUE"""),0.0)</f>
        <v>0</v>
      </c>
      <c r="J64" s="11">
        <f>IFERROR(__xludf.DUMMYFUNCTION("""COMPUTED_VALUE"""),0.0)</f>
        <v>0</v>
      </c>
      <c r="K64" s="11"/>
      <c r="L64" s="11"/>
      <c r="M64" s="11"/>
      <c r="N64" s="11"/>
      <c r="O64" s="24">
        <f>IFERROR(__xludf.DUMMYFUNCTION("""COMPUTED_VALUE"""),0.0)</f>
        <v>0</v>
      </c>
      <c r="P64" s="16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70"/>
      <c r="C65" s="11"/>
      <c r="D65" s="11"/>
      <c r="E65" s="11">
        <f>IFERROR(__xludf.DUMMYFUNCTION("""COMPUTED_VALUE"""),0.0)</f>
        <v>0</v>
      </c>
      <c r="F65" s="11">
        <f>IFERROR(__xludf.DUMMYFUNCTION("""COMPUTED_VALUE"""),0.0)</f>
        <v>0</v>
      </c>
      <c r="G65" s="11">
        <f>IFERROR(__xludf.DUMMYFUNCTION("""COMPUTED_VALUE"""),0.0)</f>
        <v>0</v>
      </c>
      <c r="H65" s="66"/>
      <c r="I65" s="11">
        <f>IFERROR(__xludf.DUMMYFUNCTION("""COMPUTED_VALUE"""),0.0)</f>
        <v>0</v>
      </c>
      <c r="J65" s="11">
        <f>IFERROR(__xludf.DUMMYFUNCTION("""COMPUTED_VALUE"""),0.0)</f>
        <v>0</v>
      </c>
      <c r="K65" s="11"/>
      <c r="L65" s="11"/>
      <c r="M65" s="11"/>
      <c r="N65" s="11"/>
      <c r="O65" s="24">
        <f>IFERROR(__xludf.DUMMYFUNCTION("""COMPUTED_VALUE"""),0.0)</f>
        <v>0</v>
      </c>
      <c r="P65" s="16">
        <f>IFERROR(__xludf.DUMMYFUNCTION("""COMPUTED_VALUE"""),0.0)</f>
        <v>0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11"/>
      <c r="D66" s="11"/>
      <c r="E66" s="11">
        <f>IFERROR(__xludf.DUMMYFUNCTION("""COMPUTED_VALUE"""),0.0)</f>
        <v>0</v>
      </c>
      <c r="F66" s="11">
        <f>IFERROR(__xludf.DUMMYFUNCTION("""COMPUTED_VALUE"""),0.0)</f>
        <v>0</v>
      </c>
      <c r="G66" s="11">
        <f>IFERROR(__xludf.DUMMYFUNCTION("""COMPUTED_VALUE"""),0.0)</f>
        <v>0</v>
      </c>
      <c r="H66" s="66"/>
      <c r="I66" s="11">
        <f>IFERROR(__xludf.DUMMYFUNCTION("""COMPUTED_VALUE"""),0.0)</f>
        <v>0</v>
      </c>
      <c r="J66" s="11">
        <f>IFERROR(__xludf.DUMMYFUNCTION("""COMPUTED_VALUE"""),0.0)</f>
        <v>0</v>
      </c>
      <c r="K66" s="11"/>
      <c r="L66" s="11"/>
      <c r="M66" s="11"/>
      <c r="N66" s="11"/>
      <c r="O66" s="24">
        <f>IFERROR(__xludf.DUMMYFUNCTION("""COMPUTED_VALUE"""),0.0)</f>
        <v>0</v>
      </c>
      <c r="P66" s="16">
        <f>IFERROR(__xludf.DUMMYFUNCTION("""COMPUTED_VALUE"""),0.0)</f>
        <v>0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11"/>
      <c r="D67" s="11"/>
      <c r="E67" s="11">
        <f>IFERROR(__xludf.DUMMYFUNCTION("""COMPUTED_VALUE"""),0.0)</f>
        <v>0</v>
      </c>
      <c r="F67" s="11">
        <f>IFERROR(__xludf.DUMMYFUNCTION("""COMPUTED_VALUE"""),0.0)</f>
        <v>0</v>
      </c>
      <c r="G67" s="11">
        <f>IFERROR(__xludf.DUMMYFUNCTION("""COMPUTED_VALUE"""),0.0)</f>
        <v>0</v>
      </c>
      <c r="H67" s="66"/>
      <c r="I67" s="11">
        <f>IFERROR(__xludf.DUMMYFUNCTION("""COMPUTED_VALUE"""),0.0)</f>
        <v>0</v>
      </c>
      <c r="J67" s="11">
        <f>IFERROR(__xludf.DUMMYFUNCTION("""COMPUTED_VALUE"""),0.0)</f>
        <v>0</v>
      </c>
      <c r="K67" s="11"/>
      <c r="L67" s="11"/>
      <c r="M67" s="11"/>
      <c r="N67" s="11"/>
      <c r="O67" s="24">
        <f>IFERROR(__xludf.DUMMYFUNCTION("""COMPUTED_VALUE"""),0.0)</f>
        <v>0</v>
      </c>
      <c r="P67" s="16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11"/>
      <c r="D68" s="11"/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66"/>
      <c r="I68" s="11">
        <f>IFERROR(__xludf.DUMMYFUNCTION("""COMPUTED_VALUE"""),0.0)</f>
        <v>0</v>
      </c>
      <c r="J68" s="11">
        <f>IFERROR(__xludf.DUMMYFUNCTION("""COMPUTED_VALUE"""),0.0)</f>
        <v>0</v>
      </c>
      <c r="K68" s="11"/>
      <c r="L68" s="11"/>
      <c r="M68" s="11"/>
      <c r="N68" s="11"/>
      <c r="O68" s="24">
        <f>IFERROR(__xludf.DUMMYFUNCTION("""COMPUTED_VALUE"""),0.0)</f>
        <v>0</v>
      </c>
      <c r="P68" s="16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67">
        <f>IFERROR(__xludf.DUMMYFUNCTION("""COMPUTED_VALUE"""),5657538.0)</f>
        <v>5657538</v>
      </c>
      <c r="C69" s="11">
        <f>IFERROR(__xludf.DUMMYFUNCTION("""COMPUTED_VALUE"""),5657538.0)</f>
        <v>5657538</v>
      </c>
      <c r="D69" s="11">
        <f>IFERROR(__xludf.DUMMYFUNCTION("""COMPUTED_VALUE"""),5657538.0)</f>
        <v>5657538</v>
      </c>
      <c r="E69" s="11">
        <f>IFERROR(__xludf.DUMMYFUNCTION("""COMPUTED_VALUE"""),5657538.0)</f>
        <v>5657538</v>
      </c>
      <c r="F69" s="11">
        <f>IFERROR(__xludf.DUMMYFUNCTION("""COMPUTED_VALUE"""),5657538.0)</f>
        <v>5657538</v>
      </c>
      <c r="G69" s="11">
        <f>IFERROR(__xludf.DUMMYFUNCTION("""COMPUTED_VALUE"""),5657538.0)</f>
        <v>5657538</v>
      </c>
      <c r="H69" s="66"/>
      <c r="I69" s="11">
        <f>IFERROR(__xludf.DUMMYFUNCTION("""COMPUTED_VALUE"""),5657538.0)</f>
        <v>5657538</v>
      </c>
      <c r="J69" s="11">
        <f>IFERROR(__xludf.DUMMYFUNCTION("""COMPUTED_VALUE"""),5657538.0)</f>
        <v>5657538</v>
      </c>
      <c r="K69" s="11"/>
      <c r="L69" s="11"/>
      <c r="M69" s="11"/>
      <c r="N69" s="11"/>
      <c r="O69" s="24">
        <f>IFERROR(__xludf.DUMMYFUNCTION("""COMPUTED_VALUE"""),4.5260304E7)</f>
        <v>45260304</v>
      </c>
      <c r="P69" s="16">
        <f>IFERROR(__xludf.DUMMYFUNCTION("""COMPUTED_VALUE"""),0.3879656307214119)</f>
        <v>0.3879656307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11"/>
      <c r="D70" s="11"/>
      <c r="E70" s="11">
        <f>IFERROR(__xludf.DUMMYFUNCTION("""COMPUTED_VALUE"""),0.0)</f>
        <v>0</v>
      </c>
      <c r="F70" s="11">
        <f>IFERROR(__xludf.DUMMYFUNCTION("""COMPUTED_VALUE"""),0.0)</f>
        <v>0</v>
      </c>
      <c r="G70" s="11">
        <f>IFERROR(__xludf.DUMMYFUNCTION("""COMPUTED_VALUE"""),0.0)</f>
        <v>0</v>
      </c>
      <c r="H70" s="66"/>
      <c r="I70" s="11">
        <f>IFERROR(__xludf.DUMMYFUNCTION("""COMPUTED_VALUE"""),0.0)</f>
        <v>0</v>
      </c>
      <c r="J70" s="11">
        <f>IFERROR(__xludf.DUMMYFUNCTION("""COMPUTED_VALUE"""),0.0)</f>
        <v>0</v>
      </c>
      <c r="K70" s="11"/>
      <c r="L70" s="11"/>
      <c r="M70" s="11"/>
      <c r="N70" s="11"/>
      <c r="O70" s="24">
        <f>IFERROR(__xludf.DUMMYFUNCTION("""COMPUTED_VALUE"""),0.0)</f>
        <v>0</v>
      </c>
      <c r="P70" s="16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>
        <f>IFERROR(__xludf.DUMMYFUNCTION("""COMPUTED_VALUE"""),4722359.0)</f>
        <v>4722359</v>
      </c>
      <c r="C71" s="11">
        <f>IFERROR(__xludf.DUMMYFUNCTION("""COMPUTED_VALUE"""),8477443.0)</f>
        <v>8477443</v>
      </c>
      <c r="D71" s="11">
        <f>IFERROR(__xludf.DUMMYFUNCTION("""COMPUTED_VALUE"""),515412.0)</f>
        <v>515412</v>
      </c>
      <c r="E71" s="11">
        <f>IFERROR(__xludf.DUMMYFUNCTION("""COMPUTED_VALUE"""),4803799.0)</f>
        <v>4803799</v>
      </c>
      <c r="F71" s="11">
        <f>IFERROR(__xludf.DUMMYFUNCTION("""COMPUTED_VALUE"""),1.5592748E7)</f>
        <v>15592748</v>
      </c>
      <c r="G71" s="11">
        <f>IFERROR(__xludf.DUMMYFUNCTION("""COMPUTED_VALUE"""),4651747.0)</f>
        <v>4651747</v>
      </c>
      <c r="H71" s="66"/>
      <c r="I71" s="11">
        <f>IFERROR(__xludf.DUMMYFUNCTION("""COMPUTED_VALUE"""),6855334.0)</f>
        <v>6855334</v>
      </c>
      <c r="J71" s="11">
        <f>IFERROR(__xludf.DUMMYFUNCTION("""COMPUTED_VALUE"""),4844334.0)</f>
        <v>4844334</v>
      </c>
      <c r="K71" s="11"/>
      <c r="L71" s="11"/>
      <c r="M71" s="11"/>
      <c r="N71" s="11"/>
      <c r="O71" s="24">
        <f>IFERROR(__xludf.DUMMYFUNCTION("""COMPUTED_VALUE"""),5.0463176E7)</f>
        <v>50463176</v>
      </c>
      <c r="P71" s="16">
        <f>IFERROR(__xludf.DUMMYFUNCTION("""COMPUTED_VALUE"""),0.43256399482083935)</f>
        <v>0.4325639948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11"/>
      <c r="D72" s="11"/>
      <c r="E72" s="11">
        <f>IFERROR(__xludf.DUMMYFUNCTION("""COMPUTED_VALUE"""),0.0)</f>
        <v>0</v>
      </c>
      <c r="F72" s="11">
        <f>IFERROR(__xludf.DUMMYFUNCTION("""COMPUTED_VALUE"""),0.0)</f>
        <v>0</v>
      </c>
      <c r="G72" s="11">
        <f>IFERROR(__xludf.DUMMYFUNCTION("""COMPUTED_VALUE"""),0.0)</f>
        <v>0</v>
      </c>
      <c r="H72" s="66"/>
      <c r="I72" s="11">
        <f>IFERROR(__xludf.DUMMYFUNCTION("""COMPUTED_VALUE"""),0.0)</f>
        <v>0</v>
      </c>
      <c r="J72" s="11">
        <f>IFERROR(__xludf.DUMMYFUNCTION("""COMPUTED_VALUE"""),0.0)</f>
        <v>0</v>
      </c>
      <c r="K72" s="11"/>
      <c r="L72" s="11"/>
      <c r="M72" s="11"/>
      <c r="N72" s="11"/>
      <c r="O72" s="24">
        <f>IFERROR(__xludf.DUMMYFUNCTION("""COMPUTED_VALUE"""),0.0)</f>
        <v>0</v>
      </c>
      <c r="P72" s="16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11"/>
      <c r="D73" s="11"/>
      <c r="E73" s="11">
        <f>IFERROR(__xludf.DUMMYFUNCTION("""COMPUTED_VALUE"""),0.0)</f>
        <v>0</v>
      </c>
      <c r="F73" s="11">
        <f>IFERROR(__xludf.DUMMYFUNCTION("""COMPUTED_VALUE"""),0.0)</f>
        <v>0</v>
      </c>
      <c r="G73" s="11">
        <f>IFERROR(__xludf.DUMMYFUNCTION("""COMPUTED_VALUE"""),0.0)</f>
        <v>0</v>
      </c>
      <c r="H73" s="66"/>
      <c r="I73" s="11">
        <f>IFERROR(__xludf.DUMMYFUNCTION("""COMPUTED_VALUE"""),0.0)</f>
        <v>0</v>
      </c>
      <c r="J73" s="11">
        <f>IFERROR(__xludf.DUMMYFUNCTION("""COMPUTED_VALUE"""),0.0)</f>
        <v>0</v>
      </c>
      <c r="K73" s="11"/>
      <c r="L73" s="11"/>
      <c r="M73" s="11"/>
      <c r="N73" s="11"/>
      <c r="O73" s="24">
        <f>IFERROR(__xludf.DUMMYFUNCTION("""COMPUTED_VALUE"""),0.0)</f>
        <v>0</v>
      </c>
      <c r="P73" s="16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11"/>
      <c r="D74" s="11"/>
      <c r="E74" s="11">
        <f>IFERROR(__xludf.DUMMYFUNCTION("""COMPUTED_VALUE"""),0.0)</f>
        <v>0</v>
      </c>
      <c r="F74" s="11">
        <f>IFERROR(__xludf.DUMMYFUNCTION("""COMPUTED_VALUE"""),0.0)</f>
        <v>0</v>
      </c>
      <c r="G74" s="11">
        <f>IFERROR(__xludf.DUMMYFUNCTION("""COMPUTED_VALUE"""),0.0)</f>
        <v>0</v>
      </c>
      <c r="H74" s="66"/>
      <c r="I74" s="11">
        <f>IFERROR(__xludf.DUMMYFUNCTION("""COMPUTED_VALUE"""),0.0)</f>
        <v>0</v>
      </c>
      <c r="J74" s="11">
        <f>IFERROR(__xludf.DUMMYFUNCTION("""COMPUTED_VALUE"""),0.0)</f>
        <v>0</v>
      </c>
      <c r="K74" s="11"/>
      <c r="L74" s="11"/>
      <c r="M74" s="11"/>
      <c r="N74" s="11"/>
      <c r="O74" s="24">
        <f>IFERROR(__xludf.DUMMYFUNCTION("""COMPUTED_VALUE"""),0.0)</f>
        <v>0</v>
      </c>
      <c r="P74" s="16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11"/>
      <c r="D75" s="11"/>
      <c r="E75" s="11">
        <f>IFERROR(__xludf.DUMMYFUNCTION("""COMPUTED_VALUE"""),0.0)</f>
        <v>0</v>
      </c>
      <c r="F75" s="11">
        <f>IFERROR(__xludf.DUMMYFUNCTION("""COMPUTED_VALUE"""),0.0)</f>
        <v>0</v>
      </c>
      <c r="G75" s="11">
        <f>IFERROR(__xludf.DUMMYFUNCTION("""COMPUTED_VALUE"""),0.0)</f>
        <v>0</v>
      </c>
      <c r="H75" s="66"/>
      <c r="I75" s="11">
        <f>IFERROR(__xludf.DUMMYFUNCTION("""COMPUTED_VALUE"""),0.0)</f>
        <v>0</v>
      </c>
      <c r="J75" s="11">
        <f>IFERROR(__xludf.DUMMYFUNCTION("""COMPUTED_VALUE"""),0.0)</f>
        <v>0</v>
      </c>
      <c r="K75" s="11"/>
      <c r="L75" s="11"/>
      <c r="M75" s="11"/>
      <c r="N75" s="11"/>
      <c r="O75" s="24">
        <f>IFERROR(__xludf.DUMMYFUNCTION("""COMPUTED_VALUE"""),0.0)</f>
        <v>0</v>
      </c>
      <c r="P75" s="16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11"/>
      <c r="D76" s="11"/>
      <c r="E76" s="11">
        <f>IFERROR(__xludf.DUMMYFUNCTION("""COMPUTED_VALUE"""),0.0)</f>
        <v>0</v>
      </c>
      <c r="F76" s="11">
        <f>IFERROR(__xludf.DUMMYFUNCTION("""COMPUTED_VALUE"""),0.0)</f>
        <v>0</v>
      </c>
      <c r="G76" s="11">
        <f>IFERROR(__xludf.DUMMYFUNCTION("""COMPUTED_VALUE"""),0.0)</f>
        <v>0</v>
      </c>
      <c r="H76" s="66"/>
      <c r="I76" s="11">
        <f>IFERROR(__xludf.DUMMYFUNCTION("""COMPUTED_VALUE"""),0.0)</f>
        <v>0</v>
      </c>
      <c r="J76" s="11">
        <f>IFERROR(__xludf.DUMMYFUNCTION("""COMPUTED_VALUE"""),0.0)</f>
        <v>0</v>
      </c>
      <c r="K76" s="11"/>
      <c r="L76" s="11"/>
      <c r="M76" s="11"/>
      <c r="N76" s="11"/>
      <c r="O76" s="24">
        <f>IFERROR(__xludf.DUMMYFUNCTION("""COMPUTED_VALUE"""),0.0)</f>
        <v>0</v>
      </c>
      <c r="P76" s="16">
        <f>IFERROR(__xludf.DUMMYFUNCTION("""COMPUTED_VALUE"""),0.0)</f>
        <v>0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IFERROR(__xludf.DUMMYFUNCTION("""COMPUTED_VALUE"""),3100409.0)</f>
        <v>3100409</v>
      </c>
      <c r="C77" s="24">
        <f>IFERROR(__xludf.DUMMYFUNCTION("""COMPUTED_VALUE"""),3097402.0)</f>
        <v>3097402</v>
      </c>
      <c r="D77" s="24">
        <f>IFERROR(__xludf.DUMMYFUNCTION("""COMPUTED_VALUE"""),3100294.0)</f>
        <v>3100294</v>
      </c>
      <c r="E77" s="24">
        <f>IFERROR(__xludf.DUMMYFUNCTION("""COMPUTED_VALUE"""),3150608.0)</f>
        <v>3150608</v>
      </c>
      <c r="F77" s="24">
        <f>IFERROR(__xludf.DUMMYFUNCTION("""COMPUTED_VALUE"""),3150787.0)</f>
        <v>3150787</v>
      </c>
      <c r="G77" s="24">
        <f>IFERROR(__xludf.DUMMYFUNCTION("""COMPUTED_VALUE"""),3151448.0)</f>
        <v>3151448</v>
      </c>
      <c r="H77" s="24">
        <f>IFERROR(__xludf.DUMMYFUNCTION("""COMPUTED_VALUE"""),0.0)</f>
        <v>0</v>
      </c>
      <c r="I77" s="24">
        <f>IFERROR(__xludf.DUMMYFUNCTION("""COMPUTED_VALUE"""),3151249.0)</f>
        <v>3151249</v>
      </c>
      <c r="J77" s="24">
        <f>IFERROR(__xludf.DUMMYFUNCTION("""COMPUTED_VALUE"""),3149498.0)</f>
        <v>3149498</v>
      </c>
      <c r="K77" s="24">
        <f>IFERROR(__xludf.DUMMYFUNCTION("""COMPUTED_VALUE"""),0.0)</f>
        <v>0</v>
      </c>
      <c r="L77" s="24">
        <f>IFERROR(__xludf.DUMMYFUNCTION("""COMPUTED_VALUE"""),0.0)</f>
        <v>0</v>
      </c>
      <c r="M77" s="24">
        <f>IFERROR(__xludf.DUMMYFUNCTION("""COMPUTED_VALUE"""),0.0)</f>
        <v>0</v>
      </c>
      <c r="N77" s="24">
        <f>IFERROR(__xludf.DUMMYFUNCTION("""COMPUTED_VALUE"""),0.0)</f>
        <v>0</v>
      </c>
      <c r="O77" s="24">
        <f>IFERROR(__xludf.DUMMYFUNCTION("""COMPUTED_VALUE"""),2.5051695E7)</f>
        <v>25051695</v>
      </c>
      <c r="P77" s="16">
        <f>IFERROR(__xludf.DUMMYFUNCTION("""COMPUTED_VALUE"""),0.21473997725060442)</f>
        <v>0.2147399773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IFERROR(__xludf.DUMMYFUNCTION("""COMPUTED_VALUE"""),3100409.0)</f>
        <v>3100409</v>
      </c>
      <c r="C78" s="11">
        <f>IFERROR(__xludf.DUMMYFUNCTION("""COMPUTED_VALUE"""),3097402.0)</f>
        <v>3097402</v>
      </c>
      <c r="D78" s="11">
        <f>IFERROR(__xludf.DUMMYFUNCTION("""COMPUTED_VALUE"""),3100294.0)</f>
        <v>3100294</v>
      </c>
      <c r="E78" s="11">
        <f>IFERROR(__xludf.DUMMYFUNCTION("""COMPUTED_VALUE"""),3150608.0)</f>
        <v>3150608</v>
      </c>
      <c r="F78" s="11">
        <f>IFERROR(__xludf.DUMMYFUNCTION("""COMPUTED_VALUE"""),3150787.0)</f>
        <v>3150787</v>
      </c>
      <c r="G78" s="11">
        <f>IFERROR(__xludf.DUMMYFUNCTION("""COMPUTED_VALUE"""),3151448.0)</f>
        <v>3151448</v>
      </c>
      <c r="H78" s="66"/>
      <c r="I78" s="11">
        <f>IFERROR(__xludf.DUMMYFUNCTION("""COMPUTED_VALUE"""),3151249.0)</f>
        <v>3151249</v>
      </c>
      <c r="J78" s="11">
        <f>IFERROR(__xludf.DUMMYFUNCTION("""COMPUTED_VALUE"""),3149498.0)</f>
        <v>3149498</v>
      </c>
      <c r="K78" s="11"/>
      <c r="L78" s="11"/>
      <c r="M78" s="11"/>
      <c r="N78" s="11"/>
      <c r="O78" s="77">
        <f>IFERROR(__xludf.DUMMYFUNCTION("""COMPUTED_VALUE"""),2.5051695E7)</f>
        <v>25051695</v>
      </c>
      <c r="P78" s="78">
        <f>IFERROR(__xludf.DUMMYFUNCTION("""COMPUTED_VALUE"""),1.0)</f>
        <v>1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IFERROR(__xludf.DUMMYFUNCTION("""COMPUTED_VALUE"""),0.0)</f>
        <v>0</v>
      </c>
      <c r="C79" s="11">
        <f>IFERROR(__xludf.DUMMYFUNCTION("""COMPUTED_VALUE"""),0.0)</f>
        <v>0</v>
      </c>
      <c r="D79" s="11">
        <f>IFERROR(__xludf.DUMMYFUNCTION("""COMPUTED_VALUE"""),0.0)</f>
        <v>0</v>
      </c>
      <c r="E79" s="11"/>
      <c r="F79" s="11"/>
      <c r="G79" s="11"/>
      <c r="H79" s="66"/>
      <c r="I79" s="11"/>
      <c r="J79" s="11"/>
      <c r="K79" s="11"/>
      <c r="L79" s="11"/>
      <c r="M79" s="11"/>
      <c r="N79" s="11"/>
      <c r="O79" s="77">
        <f>IFERROR(__xludf.DUMMYFUNCTION("""COMPUTED_VALUE"""),0.0)</f>
        <v>0</v>
      </c>
      <c r="P79" s="78">
        <f>IFERROR(__xludf.DUMMYFUNCTION("""COMPUTED_VALUE"""),0.0)</f>
        <v>0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IFERROR(__xludf.DUMMYFUNCTION("""COMPUTED_VALUE"""),0.0)</f>
        <v>0</v>
      </c>
      <c r="C80" s="11">
        <f>IFERROR(__xludf.DUMMYFUNCTION("""COMPUTED_VALUE"""),0.0)</f>
        <v>0</v>
      </c>
      <c r="D80" s="11">
        <f>IFERROR(__xludf.DUMMYFUNCTION("""COMPUTED_VALUE"""),0.0)</f>
        <v>0</v>
      </c>
      <c r="E80" s="11"/>
      <c r="F80" s="11"/>
      <c r="G80" s="11"/>
      <c r="H80" s="66"/>
      <c r="I80" s="11"/>
      <c r="J80" s="11"/>
      <c r="K80" s="11"/>
      <c r="L80" s="11"/>
      <c r="M80" s="11"/>
      <c r="N80" s="11"/>
      <c r="O80" s="77">
        <f>IFERROR(__xludf.DUMMYFUNCTION("""COMPUTED_VALUE"""),0.0)</f>
        <v>0</v>
      </c>
      <c r="P80" s="78">
        <f>IFERROR(__xludf.DUMMYFUNCTION("""COMPUTED_VALUE"""),0.0)</f>
        <v>0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IFERROR(__xludf.DUMMYFUNCTION("""COMPUTED_VALUE"""),0.0)</f>
        <v>0</v>
      </c>
      <c r="C81" s="11">
        <f>IFERROR(__xludf.DUMMYFUNCTION("""COMPUTED_VALUE"""),0.0)</f>
        <v>0</v>
      </c>
      <c r="D81" s="11">
        <f>IFERROR(__xludf.DUMMYFUNCTION("""COMPUTED_VALUE"""),0.0)</f>
        <v>0</v>
      </c>
      <c r="E81" s="11"/>
      <c r="F81" s="11"/>
      <c r="G81" s="11"/>
      <c r="H81" s="66"/>
      <c r="I81" s="11"/>
      <c r="J81" s="11"/>
      <c r="K81" s="11"/>
      <c r="L81" s="11"/>
      <c r="M81" s="11"/>
      <c r="N81" s="11"/>
      <c r="O81" s="77">
        <f>IFERROR(__xludf.DUMMYFUNCTION("""COMPUTED_VALUE"""),0.0)</f>
        <v>0</v>
      </c>
      <c r="P81" s="78">
        <f>IFERROR(__xludf.DUMMYFUNCTION("""COMPUTED_VALUE"""),0.0)</f>
        <v>0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11"/>
      <c r="D82" s="11"/>
      <c r="E82" s="11"/>
      <c r="F82" s="11"/>
      <c r="G82" s="11"/>
      <c r="H82" s="66"/>
      <c r="I82" s="11"/>
      <c r="J82" s="11"/>
      <c r="K82" s="11"/>
      <c r="L82" s="11"/>
      <c r="M82" s="11"/>
      <c r="N82" s="11"/>
      <c r="O82" s="24">
        <f>IFERROR(__xludf.DUMMYFUNCTION("""COMPUTED_VALUE"""),0.0)</f>
        <v>0</v>
      </c>
      <c r="P82" s="16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11"/>
      <c r="D83" s="11"/>
      <c r="E83" s="11">
        <f>IFERROR(__xludf.DUMMYFUNCTION("""COMPUTED_VALUE"""),0.0)</f>
        <v>0</v>
      </c>
      <c r="F83" s="11">
        <f>IFERROR(__xludf.DUMMYFUNCTION("""COMPUTED_VALUE"""),0.0)</f>
        <v>0</v>
      </c>
      <c r="G83" s="11">
        <f>IFERROR(__xludf.DUMMYFUNCTION("""COMPUTED_VALUE"""),0.0)</f>
        <v>0</v>
      </c>
      <c r="H83" s="66"/>
      <c r="I83" s="11"/>
      <c r="J83" s="11">
        <f>IFERROR(__xludf.DUMMYFUNCTION("""COMPUTED_VALUE"""),0.0)</f>
        <v>0</v>
      </c>
      <c r="K83" s="11"/>
      <c r="L83" s="11"/>
      <c r="M83" s="11"/>
      <c r="N83" s="11"/>
      <c r="O83" s="24">
        <f>IFERROR(__xludf.DUMMYFUNCTION("""COMPUTED_VALUE"""),0.0)</f>
        <v>0</v>
      </c>
      <c r="P83" s="16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IFERROR(__xludf.DUMMYFUNCTION("""COMPUTED_VALUE"""),0.0)</f>
        <v>0</v>
      </c>
      <c r="C84" s="24">
        <f>IFERROR(__xludf.DUMMYFUNCTION("""COMPUTED_VALUE"""),0.0)</f>
        <v>0</v>
      </c>
      <c r="D84" s="24">
        <f>IFERROR(__xludf.DUMMYFUNCTION("""COMPUTED_VALUE"""),0.0)</f>
        <v>0</v>
      </c>
      <c r="E84" s="24">
        <f>IFERROR(__xludf.DUMMYFUNCTION("""COMPUTED_VALUE"""),0.0)</f>
        <v>0</v>
      </c>
      <c r="F84" s="24">
        <f>IFERROR(__xludf.DUMMYFUNCTION("""COMPUTED_VALUE"""),0.0)</f>
        <v>0</v>
      </c>
      <c r="G84" s="24">
        <f>IFERROR(__xludf.DUMMYFUNCTION("""COMPUTED_VALUE"""),0.0)</f>
        <v>0</v>
      </c>
      <c r="H84" s="66">
        <f>IFERROR(__xludf.DUMMYFUNCTION("""COMPUTED_VALUE"""),0.0)</f>
        <v>0</v>
      </c>
      <c r="I84" s="24">
        <f>IFERROR(__xludf.DUMMYFUNCTION("""COMPUTED_VALUE"""),0.0)</f>
        <v>0</v>
      </c>
      <c r="J84" s="24">
        <f>IFERROR(__xludf.DUMMYFUNCTION("""COMPUTED_VALUE"""),0.0)</f>
        <v>0</v>
      </c>
      <c r="K84" s="24">
        <f>IFERROR(__xludf.DUMMYFUNCTION("""COMPUTED_VALUE"""),0.0)</f>
        <v>0</v>
      </c>
      <c r="L84" s="24">
        <f>IFERROR(__xludf.DUMMYFUNCTION("""COMPUTED_VALUE"""),0.0)</f>
        <v>0</v>
      </c>
      <c r="M84" s="24">
        <f>IFERROR(__xludf.DUMMYFUNCTION("""COMPUTED_VALUE"""),0.0)</f>
        <v>0</v>
      </c>
      <c r="N84" s="24">
        <f>IFERROR(__xludf.DUMMYFUNCTION("""COMPUTED_VALUE"""),0.0)</f>
        <v>0</v>
      </c>
      <c r="O84" s="24">
        <f>IFERROR(__xludf.DUMMYFUNCTION("""COMPUTED_VALUE"""),0.0)</f>
        <v>0</v>
      </c>
      <c r="P84" s="16">
        <f>IFERROR(__xludf.DUMMYFUNCTION("""COMPUTED_VALUE"""),0.0)</f>
        <v>0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/>
      <c r="C85" s="11"/>
      <c r="D85" s="11"/>
      <c r="E85" s="11">
        <f>IFERROR(__xludf.DUMMYFUNCTION("""COMPUTED_VALUE"""),0.0)</f>
        <v>0</v>
      </c>
      <c r="F85" s="11">
        <f>IFERROR(__xludf.DUMMYFUNCTION("""COMPUTED_VALUE"""),0.0)</f>
        <v>0</v>
      </c>
      <c r="G85" s="11">
        <f>IFERROR(__xludf.DUMMYFUNCTION("""COMPUTED_VALUE"""),0.0)</f>
        <v>0</v>
      </c>
      <c r="H85" s="66"/>
      <c r="I85" s="11">
        <f>IFERROR(__xludf.DUMMYFUNCTION("""COMPUTED_VALUE"""),0.0)</f>
        <v>0</v>
      </c>
      <c r="J85" s="11">
        <f>IFERROR(__xludf.DUMMYFUNCTION("""COMPUTED_VALUE"""),0.0)</f>
        <v>0</v>
      </c>
      <c r="K85" s="11"/>
      <c r="L85" s="11"/>
      <c r="M85" s="11"/>
      <c r="N85" s="11"/>
      <c r="O85" s="77">
        <f>IFERROR(__xludf.DUMMYFUNCTION("""COMPUTED_VALUE"""),0.0)</f>
        <v>0</v>
      </c>
      <c r="P85" s="78" t="str">
        <f>IFERROR(__xludf.DUMMYFUNCTION("""COMPUTED_VALUE"""),"")</f>
        <v/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11"/>
      <c r="D86" s="11"/>
      <c r="E86" s="11">
        <f>IFERROR(__xludf.DUMMYFUNCTION("""COMPUTED_VALUE"""),0.0)</f>
        <v>0</v>
      </c>
      <c r="F86" s="11">
        <f>IFERROR(__xludf.DUMMYFUNCTION("""COMPUTED_VALUE"""),0.0)</f>
        <v>0</v>
      </c>
      <c r="G86" s="11">
        <f>IFERROR(__xludf.DUMMYFUNCTION("""COMPUTED_VALUE"""),0.0)</f>
        <v>0</v>
      </c>
      <c r="H86" s="66"/>
      <c r="I86" s="11">
        <f>IFERROR(__xludf.DUMMYFUNCTION("""COMPUTED_VALUE"""),0.0)</f>
        <v>0</v>
      </c>
      <c r="J86" s="11">
        <f>IFERROR(__xludf.DUMMYFUNCTION("""COMPUTED_VALUE"""),0.0)</f>
        <v>0</v>
      </c>
      <c r="K86" s="11">
        <f>IFERROR(__xludf.DUMMYFUNCTION("""COMPUTED_VALUE"""),0.0)</f>
        <v>0</v>
      </c>
      <c r="L86" s="11">
        <f>IFERROR(__xludf.DUMMYFUNCTION("""COMPUTED_VALUE"""),0.0)</f>
        <v>0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77">
        <f>IFERROR(__xludf.DUMMYFUNCTION("""COMPUTED_VALUE"""),0.0)</f>
        <v>0</v>
      </c>
      <c r="P86" s="78" t="str">
        <f>IFERROR(__xludf.DUMMYFUNCTION("""COMPUTED_VALUE"""),"")</f>
        <v/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11"/>
      <c r="D87" s="11"/>
      <c r="E87" s="11">
        <f>IFERROR(__xludf.DUMMYFUNCTION("""COMPUTED_VALUE"""),0.0)</f>
        <v>0</v>
      </c>
      <c r="F87" s="11">
        <f>IFERROR(__xludf.DUMMYFUNCTION("""COMPUTED_VALUE"""),0.0)</f>
        <v>0</v>
      </c>
      <c r="G87" s="11">
        <f>IFERROR(__xludf.DUMMYFUNCTION("""COMPUTED_VALUE"""),0.0)</f>
        <v>0</v>
      </c>
      <c r="H87" s="66"/>
      <c r="I87" s="11">
        <f>IFERROR(__xludf.DUMMYFUNCTION("""COMPUTED_VALUE"""),0.0)</f>
        <v>0</v>
      </c>
      <c r="J87" s="11">
        <f>IFERROR(__xludf.DUMMYFUNCTION("""COMPUTED_VALUE"""),0.0)</f>
        <v>0</v>
      </c>
      <c r="K87" s="11">
        <f>IFERROR(__xludf.DUMMYFUNCTION("""COMPUTED_VALUE"""),0.0)</f>
        <v>0</v>
      </c>
      <c r="L87" s="11">
        <f>IFERROR(__xludf.DUMMYFUNCTION("""COMPUTED_VALUE"""),0.0)</f>
        <v>0</v>
      </c>
      <c r="M87" s="11">
        <f>IFERROR(__xludf.DUMMYFUNCTION("""COMPUTED_VALUE"""),0.0)</f>
        <v>0</v>
      </c>
      <c r="N87" s="11">
        <f>IFERROR(__xludf.DUMMYFUNCTION("""COMPUTED_VALUE"""),0.0)</f>
        <v>0</v>
      </c>
      <c r="O87" s="77">
        <f>IFERROR(__xludf.DUMMYFUNCTION("""COMPUTED_VALUE"""),0.0)</f>
        <v>0</v>
      </c>
      <c r="P87" s="78" t="str">
        <f>IFERROR(__xludf.DUMMYFUNCTION("""COMPUTED_VALUE"""),"")</f>
        <v/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11"/>
      <c r="D88" s="11"/>
      <c r="E88" s="11">
        <f>IFERROR(__xludf.DUMMYFUNCTION("""COMPUTED_VALUE"""),0.0)</f>
        <v>0</v>
      </c>
      <c r="F88" s="11">
        <f>IFERROR(__xludf.DUMMYFUNCTION("""COMPUTED_VALUE"""),0.0)</f>
        <v>0</v>
      </c>
      <c r="G88" s="11">
        <f>IFERROR(__xludf.DUMMYFUNCTION("""COMPUTED_VALUE"""),0.0)</f>
        <v>0</v>
      </c>
      <c r="H88" s="66"/>
      <c r="I88" s="11">
        <f>IFERROR(__xludf.DUMMYFUNCTION("""COMPUTED_VALUE"""),0.0)</f>
        <v>0</v>
      </c>
      <c r="J88" s="11">
        <f>IFERROR(__xludf.DUMMYFUNCTION("""COMPUTED_VALUE"""),0.0)</f>
        <v>0</v>
      </c>
      <c r="K88" s="11">
        <f>IFERROR(__xludf.DUMMYFUNCTION("""COMPUTED_VALUE"""),0.0)</f>
        <v>0</v>
      </c>
      <c r="L88" s="11">
        <f>IFERROR(__xludf.DUMMYFUNCTION("""COMPUTED_VALUE"""),0.0)</f>
        <v>0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77">
        <f>IFERROR(__xludf.DUMMYFUNCTION("""COMPUTED_VALUE"""),0.0)</f>
        <v>0</v>
      </c>
      <c r="P88" s="78" t="str">
        <f>IFERROR(__xludf.DUMMYFUNCTION("""COMPUTED_VALUE"""),"")</f>
        <v/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IFERROR(__xludf.DUMMYFUNCTION("""COMPUTED_VALUE"""),0.0)</f>
        <v>0</v>
      </c>
      <c r="C89" s="24">
        <f>IFERROR(__xludf.DUMMYFUNCTION("""COMPUTED_VALUE"""),0.0)</f>
        <v>0</v>
      </c>
      <c r="D89" s="24">
        <f>IFERROR(__xludf.DUMMYFUNCTION("""COMPUTED_VALUE"""),0.0)</f>
        <v>0</v>
      </c>
      <c r="E89" s="24">
        <f>IFERROR(__xludf.DUMMYFUNCTION("""COMPUTED_VALUE"""),0.0)</f>
        <v>0</v>
      </c>
      <c r="F89" s="24">
        <f>IFERROR(__xludf.DUMMYFUNCTION("""COMPUTED_VALUE"""),0.0)</f>
        <v>0</v>
      </c>
      <c r="G89" s="24">
        <f>IFERROR(__xludf.DUMMYFUNCTION("""COMPUTED_VALUE"""),0.0)</f>
        <v>0</v>
      </c>
      <c r="H89" s="24">
        <f>IFERROR(__xludf.DUMMYFUNCTION("""COMPUTED_VALUE"""),0.0)</f>
        <v>0</v>
      </c>
      <c r="I89" s="24">
        <f>IFERROR(__xludf.DUMMYFUNCTION("""COMPUTED_VALUE"""),0.0)</f>
        <v>0</v>
      </c>
      <c r="J89" s="24">
        <f>IFERROR(__xludf.DUMMYFUNCTION("""COMPUTED_VALUE"""),0.0)</f>
        <v>0</v>
      </c>
      <c r="K89" s="24">
        <f>IFERROR(__xludf.DUMMYFUNCTION("""COMPUTED_VALUE"""),0.0)</f>
        <v>0</v>
      </c>
      <c r="L89" s="24">
        <f>IFERROR(__xludf.DUMMYFUNCTION("""COMPUTED_VALUE"""),0.0)</f>
        <v>0</v>
      </c>
      <c r="M89" s="24">
        <f>IFERROR(__xludf.DUMMYFUNCTION("""COMPUTED_VALUE"""),0.0)</f>
        <v>0</v>
      </c>
      <c r="N89" s="24">
        <f>IFERROR(__xludf.DUMMYFUNCTION("""COMPUTED_VALUE"""),0.0)</f>
        <v>0</v>
      </c>
      <c r="O89" s="24">
        <f>IFERROR(__xludf.DUMMYFUNCTION("""COMPUTED_VALUE"""),0.0)</f>
        <v>0</v>
      </c>
      <c r="P89" s="16">
        <f>IFERROR(__xludf.DUMMYFUNCTION("""COMPUTED_VALUE"""),0.0)</f>
        <v>0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11"/>
      <c r="D90" s="11"/>
      <c r="E90" s="11">
        <f>IFERROR(__xludf.DUMMYFUNCTION("""COMPUTED_VALUE"""),0.0)</f>
        <v>0</v>
      </c>
      <c r="F90" s="11">
        <f>IFERROR(__xludf.DUMMYFUNCTION("""COMPUTED_VALUE"""),0.0)</f>
        <v>0</v>
      </c>
      <c r="G90" s="11">
        <f>IFERROR(__xludf.DUMMYFUNCTION("""COMPUTED_VALUE"""),0.0)</f>
        <v>0</v>
      </c>
      <c r="H90" s="66"/>
      <c r="I90" s="11">
        <f>IFERROR(__xludf.DUMMYFUNCTION("""COMPUTED_VALUE"""),0.0)</f>
        <v>0</v>
      </c>
      <c r="J90" s="11">
        <f>IFERROR(__xludf.DUMMYFUNCTION("""COMPUTED_VALUE"""),0.0)</f>
        <v>0</v>
      </c>
      <c r="K90" s="11"/>
      <c r="L90" s="11"/>
      <c r="M90" s="11"/>
      <c r="N90" s="11"/>
      <c r="O90" s="77">
        <f>IFERROR(__xludf.DUMMYFUNCTION("""COMPUTED_VALUE"""),0.0)</f>
        <v>0</v>
      </c>
      <c r="P90" s="78" t="str">
        <f>IFERROR(__xludf.DUMMYFUNCTION("""COMPUTED_VALUE"""),"")</f>
        <v/>
      </c>
      <c r="Q90" s="16"/>
    </row>
    <row r="91" ht="15.75" customHeight="1">
      <c r="A91" s="51" t="str">
        <f>IFERROR(__xludf.DUMMYFUNCTION("""COMPUTED_VALUE"""),"その他")</f>
        <v>その他</v>
      </c>
      <c r="B91" s="70"/>
      <c r="C91" s="11"/>
      <c r="D91" s="11"/>
      <c r="E91" s="11">
        <f>IFERROR(__xludf.DUMMYFUNCTION("""COMPUTED_VALUE"""),0.0)</f>
        <v>0</v>
      </c>
      <c r="F91" s="11">
        <f>IFERROR(__xludf.DUMMYFUNCTION("""COMPUTED_VALUE"""),0.0)</f>
        <v>0</v>
      </c>
      <c r="G91" s="11">
        <f>IFERROR(__xludf.DUMMYFUNCTION("""COMPUTED_VALUE"""),0.0)</f>
        <v>0</v>
      </c>
      <c r="H91" s="66"/>
      <c r="I91" s="11">
        <f>IFERROR(__xludf.DUMMYFUNCTION("""COMPUTED_VALUE"""),0.0)</f>
        <v>0</v>
      </c>
      <c r="J91" s="11">
        <f>IFERROR(__xludf.DUMMYFUNCTION("""COMPUTED_VALUE"""),0.0)</f>
        <v>0</v>
      </c>
      <c r="K91" s="11"/>
      <c r="L91" s="11"/>
      <c r="M91" s="11"/>
      <c r="N91" s="11"/>
      <c r="O91" s="77">
        <f>IFERROR(__xludf.DUMMYFUNCTION("""COMPUTED_VALUE"""),0.0)</f>
        <v>0</v>
      </c>
      <c r="P91" s="78" t="str">
        <f>IFERROR(__xludf.DUMMYFUNCTION("""COMPUTED_VALUE"""),"")</f>
        <v/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11"/>
      <c r="D92" s="11"/>
      <c r="E92" s="11">
        <f>IFERROR(__xludf.DUMMYFUNCTION("""COMPUTED_VALUE"""),0.0)</f>
        <v>0</v>
      </c>
      <c r="F92" s="11">
        <f>IFERROR(__xludf.DUMMYFUNCTION("""COMPUTED_VALUE"""),0.0)</f>
        <v>0</v>
      </c>
      <c r="G92" s="11">
        <f>IFERROR(__xludf.DUMMYFUNCTION("""COMPUTED_VALUE"""),0.0)</f>
        <v>0</v>
      </c>
      <c r="H92" s="66"/>
      <c r="I92" s="11">
        <f>IFERROR(__xludf.DUMMYFUNCTION("""COMPUTED_VALUE"""),0.0)</f>
        <v>0</v>
      </c>
      <c r="J92" s="11">
        <f>IFERROR(__xludf.DUMMYFUNCTION("""COMPUTED_VALUE"""),0.0)</f>
        <v>0</v>
      </c>
      <c r="K92" s="11"/>
      <c r="L92" s="11"/>
      <c r="M92" s="11"/>
      <c r="N92" s="11"/>
      <c r="O92" s="24">
        <f>IFERROR(__xludf.DUMMYFUNCTION("""COMPUTED_VALUE"""),0.0)</f>
        <v>0</v>
      </c>
      <c r="P92" s="16">
        <f>IFERROR(__xludf.DUMMYFUNCTION("""COMPUTED_VALUE"""),0.0)</f>
        <v>0</v>
      </c>
      <c r="Q92" s="16"/>
    </row>
    <row r="93" ht="15.75" customHeight="1">
      <c r="A93" s="48" t="str">
        <f>IFERROR(__xludf.DUMMYFUNCTION("""COMPUTED_VALUE"""),"販売促進費")</f>
        <v>販売促進費</v>
      </c>
      <c r="B93" s="70"/>
      <c r="C93" s="11"/>
      <c r="D93" s="11"/>
      <c r="E93" s="11">
        <f>IFERROR(__xludf.DUMMYFUNCTION("""COMPUTED_VALUE"""),0.0)</f>
        <v>0</v>
      </c>
      <c r="F93" s="11">
        <f>IFERROR(__xludf.DUMMYFUNCTION("""COMPUTED_VALUE"""),0.0)</f>
        <v>0</v>
      </c>
      <c r="G93" s="11">
        <f>IFERROR(__xludf.DUMMYFUNCTION("""COMPUTED_VALUE"""),0.0)</f>
        <v>0</v>
      </c>
      <c r="H93" s="66"/>
      <c r="I93" s="11">
        <f>IFERROR(__xludf.DUMMYFUNCTION("""COMPUTED_VALUE"""),0.0)</f>
        <v>0</v>
      </c>
      <c r="J93" s="11">
        <f>IFERROR(__xludf.DUMMYFUNCTION("""COMPUTED_VALUE"""),0.0)</f>
        <v>0</v>
      </c>
      <c r="K93" s="11"/>
      <c r="L93" s="11"/>
      <c r="M93" s="11"/>
      <c r="N93" s="11"/>
      <c r="O93" s="24">
        <f>IFERROR(__xludf.DUMMYFUNCTION("""COMPUTED_VALUE"""),0.0)</f>
        <v>0</v>
      </c>
      <c r="P93" s="16">
        <f>IFERROR(__xludf.DUMMYFUNCTION("""COMPUTED_VALUE"""),0.0)</f>
        <v>0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20"/>
      <c r="D94" s="20"/>
      <c r="E94" s="20"/>
      <c r="F94" s="20"/>
      <c r="G94" s="20"/>
      <c r="H94" s="66"/>
      <c r="I94" s="20"/>
      <c r="J94" s="20"/>
      <c r="K94" s="20"/>
      <c r="L94" s="20"/>
      <c r="M94" s="20"/>
      <c r="N94" s="20"/>
      <c r="O94" s="24">
        <f>IFERROR(__xludf.DUMMYFUNCTION("""COMPUTED_VALUE"""),0.0)</f>
        <v>0</v>
      </c>
      <c r="P94" s="16">
        <f>IFERROR(__xludf.DUMMYFUNCTION("""COMPUTED_VALUE"""),0.0)</f>
        <v>0</v>
      </c>
      <c r="Q94" s="16"/>
    </row>
    <row r="95" ht="15.75" customHeight="1">
      <c r="A95" s="48"/>
      <c r="B95" s="55"/>
      <c r="C95" s="20"/>
      <c r="D95" s="20"/>
      <c r="E95" s="20"/>
      <c r="F95" s="20"/>
      <c r="G95" s="20"/>
      <c r="H95" s="66"/>
      <c r="I95" s="20"/>
      <c r="J95" s="20"/>
      <c r="K95" s="20"/>
      <c r="L95" s="20"/>
      <c r="M95" s="20"/>
      <c r="N95" s="20"/>
      <c r="O95" s="79"/>
      <c r="P95" s="16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 t="str">
        <f>IFERROR(__xludf.DUMMYFUNCTION("""COMPUTED_VALUE"""),"")</f>
        <v/>
      </c>
      <c r="C96" s="22" t="str">
        <f>IFERROR(__xludf.DUMMYFUNCTION("""COMPUTED_VALUE"""),"")</f>
        <v/>
      </c>
      <c r="D96" s="22" t="str">
        <f>IFERROR(__xludf.DUMMYFUNCTION("""COMPUTED_VALUE"""),"")</f>
        <v/>
      </c>
      <c r="E96" s="22" t="str">
        <f>IFERROR(__xludf.DUMMYFUNCTION("""COMPUTED_VALUE"""),"")</f>
        <v/>
      </c>
      <c r="F96" s="22" t="str">
        <f>IFERROR(__xludf.DUMMYFUNCTION("""COMPUTED_VALUE"""),"")</f>
        <v/>
      </c>
      <c r="G96" s="22" t="str">
        <f>IFERROR(__xludf.DUMMYFUNCTION("""COMPUTED_VALUE"""),"")</f>
        <v/>
      </c>
      <c r="H96" s="66"/>
      <c r="I96" s="22" t="str">
        <f>IFERROR(__xludf.DUMMYFUNCTION("""COMPUTED_VALUE"""),"")</f>
        <v/>
      </c>
      <c r="J96" s="22" t="str">
        <f>IFERROR(__xludf.DUMMYFUNCTION("""COMPUTED_VALUE"""),"")</f>
        <v/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22" t="str">
        <f>IFERROR(__xludf.DUMMYFUNCTION("""COMPUTED_VALUE"""),"")</f>
        <v/>
      </c>
      <c r="N96" s="22" t="str">
        <f>IFERROR(__xludf.DUMMYFUNCTION("""COMPUTED_VALUE"""),"")</f>
        <v/>
      </c>
      <c r="O96" s="22" t="str">
        <f>IFERROR(__xludf.DUMMYFUNCTION("""COMPUTED_VALUE"""),"")</f>
        <v/>
      </c>
      <c r="P96" s="22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 t="str">
        <f>IFERROR(__xludf.DUMMYFUNCTION("""COMPUTED_VALUE"""),"")</f>
        <v/>
      </c>
      <c r="C97" s="22" t="str">
        <f>IFERROR(__xludf.DUMMYFUNCTION("""COMPUTED_VALUE"""),"")</f>
        <v/>
      </c>
      <c r="D97" s="22" t="str">
        <f>IFERROR(__xludf.DUMMYFUNCTION("""COMPUTED_VALUE"""),"")</f>
        <v/>
      </c>
      <c r="E97" s="22" t="str">
        <f>IFERROR(__xludf.DUMMYFUNCTION("""COMPUTED_VALUE"""),"")</f>
        <v/>
      </c>
      <c r="F97" s="22" t="str">
        <f>IFERROR(__xludf.DUMMYFUNCTION("""COMPUTED_VALUE"""),"")</f>
        <v/>
      </c>
      <c r="G97" s="22" t="str">
        <f>IFERROR(__xludf.DUMMYFUNCTION("""COMPUTED_VALUE"""),"")</f>
        <v/>
      </c>
      <c r="H97" s="66"/>
      <c r="I97" s="22" t="str">
        <f>IFERROR(__xludf.DUMMYFUNCTION("""COMPUTED_VALUE"""),"")</f>
        <v/>
      </c>
      <c r="J97" s="22" t="str">
        <f>IFERROR(__xludf.DUMMYFUNCTION("""COMPUTED_VALUE"""),"")</f>
        <v/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22" t="str">
        <f>IFERROR(__xludf.DUMMYFUNCTION("""COMPUTED_VALUE"""),"")</f>
        <v/>
      </c>
      <c r="N97" s="22" t="str">
        <f>IFERROR(__xludf.DUMMYFUNCTION("""COMPUTED_VALUE"""),"")</f>
        <v/>
      </c>
      <c r="O97" s="22" t="str">
        <f>IFERROR(__xludf.DUMMYFUNCTION("""COMPUTED_VALUE"""),"")</f>
        <v/>
      </c>
      <c r="P97" s="22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IFERROR(__xludf.DUMMYFUNCTION("""COMPUTED_VALUE"""),-514321.63636363635)</f>
        <v>-514321.6364</v>
      </c>
      <c r="C98" s="24">
        <f>IFERROR(__xludf.DUMMYFUNCTION("""COMPUTED_VALUE"""),-514321.63636363635)</f>
        <v>-514321.6364</v>
      </c>
      <c r="D98" s="24">
        <f>IFERROR(__xludf.DUMMYFUNCTION("""COMPUTED_VALUE"""),-514321.63636363635)</f>
        <v>-514321.6364</v>
      </c>
      <c r="E98" s="24">
        <f>IFERROR(__xludf.DUMMYFUNCTION("""COMPUTED_VALUE"""),-514321.63636363635)</f>
        <v>-514321.6364</v>
      </c>
      <c r="F98" s="24">
        <f>IFERROR(__xludf.DUMMYFUNCTION("""COMPUTED_VALUE"""),-514321.63636363635)</f>
        <v>-514321.6364</v>
      </c>
      <c r="G98" s="24">
        <f>IFERROR(__xludf.DUMMYFUNCTION("""COMPUTED_VALUE"""),-514321.63636363635)</f>
        <v>-514321.6364</v>
      </c>
      <c r="H98" s="24"/>
      <c r="I98" s="24">
        <f>IFERROR(__xludf.DUMMYFUNCTION("""COMPUTED_VALUE"""),-514321.63636363635)</f>
        <v>-514321.6364</v>
      </c>
      <c r="J98" s="24">
        <f>IFERROR(__xludf.DUMMYFUNCTION("""COMPUTED_VALUE"""),-514321.63636363635)</f>
        <v>-514321.6364</v>
      </c>
      <c r="K98" s="24">
        <f>IFERROR(__xludf.DUMMYFUNCTION("""COMPUTED_VALUE"""),0.0)</f>
        <v>0</v>
      </c>
      <c r="L98" s="24">
        <f>IFERROR(__xludf.DUMMYFUNCTION("""COMPUTED_VALUE"""),0.0)</f>
        <v>0</v>
      </c>
      <c r="M98" s="24">
        <f>IFERROR(__xludf.DUMMYFUNCTION("""COMPUTED_VALUE"""),0.0)</f>
        <v>0</v>
      </c>
      <c r="N98" s="24">
        <f>IFERROR(__xludf.DUMMYFUNCTION("""COMPUTED_VALUE"""),0.0)</f>
        <v>0</v>
      </c>
      <c r="O98" s="24">
        <f>IFERROR(__xludf.DUMMYFUNCTION("""COMPUTED_VALUE"""),-4114573.090909091)</f>
        <v>-4114573.091</v>
      </c>
      <c r="P98" s="16"/>
      <c r="Q98" s="16"/>
    </row>
    <row r="99" ht="15.75" customHeight="1">
      <c r="A99" s="48"/>
      <c r="B99" s="46"/>
      <c r="C99" s="24"/>
      <c r="D99" s="24"/>
      <c r="E99" s="24"/>
      <c r="F99" s="24"/>
      <c r="G99" s="24"/>
      <c r="H99" s="66"/>
      <c r="I99" s="24"/>
      <c r="J99" s="24"/>
      <c r="K99" s="24"/>
      <c r="L99" s="24"/>
      <c r="M99" s="24"/>
      <c r="N99" s="24"/>
      <c r="O99" s="24"/>
      <c r="P99" s="16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IFERROR(__xludf.DUMMYFUNCTION("""COMPUTED_VALUE"""),-1.2965984363636363E7)</f>
        <v>-12965984.36</v>
      </c>
      <c r="C100" s="80">
        <f>IFERROR(__xludf.DUMMYFUNCTION("""COMPUTED_VALUE"""),-1.6718061363636363E7)</f>
        <v>-16718061.36</v>
      </c>
      <c r="D100" s="80">
        <f>IFERROR(__xludf.DUMMYFUNCTION("""COMPUTED_VALUE"""),-8758922.363636363)</f>
        <v>-8758922.364</v>
      </c>
      <c r="E100" s="80">
        <f>IFERROR(__xludf.DUMMYFUNCTION("""COMPUTED_VALUE"""),-1.3097623363636363E7)</f>
        <v>-13097623.36</v>
      </c>
      <c r="F100" s="80">
        <f>IFERROR(__xludf.DUMMYFUNCTION("""COMPUTED_VALUE"""),-2.3886751363636363E7)</f>
        <v>-23886751.36</v>
      </c>
      <c r="G100" s="80">
        <f>IFERROR(__xludf.DUMMYFUNCTION("""COMPUTED_VALUE"""),-1.2946411363636363E7)</f>
        <v>-12946411.36</v>
      </c>
      <c r="H100" s="66"/>
      <c r="I100" s="80">
        <f>IFERROR(__xludf.DUMMYFUNCTION("""COMPUTED_VALUE"""),-1.5149799363636363E7)</f>
        <v>-15149799.36</v>
      </c>
      <c r="J100" s="80">
        <f>IFERROR(__xludf.DUMMYFUNCTION("""COMPUTED_VALUE"""),-1.3137048363636363E7)</f>
        <v>-13137048.36</v>
      </c>
      <c r="K100" s="80">
        <f>IFERROR(__xludf.DUMMYFUNCTION("""COMPUTED_VALUE"""),0.0)</f>
        <v>0</v>
      </c>
      <c r="L100" s="80">
        <f>IFERROR(__xludf.DUMMYFUNCTION("""COMPUTED_VALUE"""),0.0)</f>
        <v>0</v>
      </c>
      <c r="M100" s="80">
        <f>IFERROR(__xludf.DUMMYFUNCTION("""COMPUTED_VALUE"""),0.0)</f>
        <v>0</v>
      </c>
      <c r="N100" s="80">
        <f>IFERROR(__xludf.DUMMYFUNCTION("""COMPUTED_VALUE"""),0.0)</f>
        <v>0</v>
      </c>
      <c r="O100" s="80">
        <f>IFERROR(__xludf.DUMMYFUNCTION("""COMPUTED_VALUE"""),-1.166606019090909E8)</f>
        <v>-116660601.9</v>
      </c>
      <c r="P100" s="22" t="str">
        <f>IFERROR(__xludf.DUMMYFUNCTION("""COMPUTED_VALUE"""),"")</f>
        <v/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24">
        <f>IFERROR(__xludf.DUMMYFUNCTION("""COMPUTED_VALUE"""),0.0)</f>
        <v>0</v>
      </c>
      <c r="D101" s="24">
        <f>IFERROR(__xludf.DUMMYFUNCTION("""COMPUTED_VALUE"""),0.0)</f>
        <v>0</v>
      </c>
      <c r="E101" s="24">
        <f>IFERROR(__xludf.DUMMYFUNCTION("""COMPUTED_VALUE"""),0.0)</f>
        <v>0</v>
      </c>
      <c r="F101" s="24">
        <f>IFERROR(__xludf.DUMMYFUNCTION("""COMPUTED_VALUE"""),0.0)</f>
        <v>0</v>
      </c>
      <c r="G101" s="24">
        <f>IFERROR(__xludf.DUMMYFUNCTION("""COMPUTED_VALUE"""),0.0)</f>
        <v>0</v>
      </c>
      <c r="H101" s="66"/>
      <c r="I101" s="24">
        <f>IFERROR(__xludf.DUMMYFUNCTION("""COMPUTED_VALUE"""),0.0)</f>
        <v>0</v>
      </c>
      <c r="J101" s="24">
        <f>IFERROR(__xludf.DUMMYFUNCTION("""COMPUTED_VALUE"""),0.0)</f>
        <v>0</v>
      </c>
      <c r="K101" s="24">
        <f>IFERROR(__xludf.DUMMYFUNCTION("""COMPUTED_VALUE"""),0.0)</f>
        <v>0</v>
      </c>
      <c r="L101" s="24">
        <f>IFERROR(__xludf.DUMMYFUNCTION("""COMPUTED_VALUE"""),0.0)</f>
        <v>0</v>
      </c>
      <c r="M101" s="24">
        <f>IFERROR(__xludf.DUMMYFUNCTION("""COMPUTED_VALUE"""),0.0)</f>
        <v>0</v>
      </c>
      <c r="N101" s="24">
        <f>IFERROR(__xludf.DUMMYFUNCTION("""COMPUTED_VALUE"""),0.0)</f>
        <v>0</v>
      </c>
      <c r="O101" s="24">
        <f>IFERROR(__xludf.DUMMYFUNCTION("""COMPUTED_VALUE"""),0.0)</f>
        <v>0</v>
      </c>
      <c r="P101" s="16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11"/>
      <c r="D102" s="11"/>
      <c r="E102" s="11"/>
      <c r="F102" s="11"/>
      <c r="G102" s="11"/>
      <c r="H102" s="66"/>
      <c r="I102" s="11"/>
      <c r="J102" s="11"/>
      <c r="K102" s="11"/>
      <c r="L102" s="11"/>
      <c r="M102" s="11"/>
      <c r="N102" s="11"/>
      <c r="O102" s="77">
        <f>IFERROR(__xludf.DUMMYFUNCTION("""COMPUTED_VALUE"""),0.0)</f>
        <v>0</v>
      </c>
      <c r="P102" s="78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11"/>
      <c r="D103" s="11"/>
      <c r="E103" s="11"/>
      <c r="F103" s="11"/>
      <c r="G103" s="11"/>
      <c r="H103" s="66"/>
      <c r="I103" s="11"/>
      <c r="J103" s="11"/>
      <c r="K103" s="11"/>
      <c r="L103" s="11"/>
      <c r="M103" s="11"/>
      <c r="N103" s="11"/>
      <c r="O103" s="77">
        <f>IFERROR(__xludf.DUMMYFUNCTION("""COMPUTED_VALUE"""),0.0)</f>
        <v>0</v>
      </c>
      <c r="P103" s="78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11"/>
      <c r="D104" s="11"/>
      <c r="E104" s="11"/>
      <c r="F104" s="11"/>
      <c r="G104" s="11"/>
      <c r="H104" s="66"/>
      <c r="I104" s="11"/>
      <c r="J104" s="11"/>
      <c r="K104" s="11"/>
      <c r="L104" s="11"/>
      <c r="M104" s="11"/>
      <c r="N104" s="11"/>
      <c r="O104" s="77">
        <f>IFERROR(__xludf.DUMMYFUNCTION("""COMPUTED_VALUE"""),0.0)</f>
        <v>0</v>
      </c>
      <c r="P104" s="78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24">
        <f>IFERROR(__xludf.DUMMYFUNCTION("""COMPUTED_VALUE"""),0.0)</f>
        <v>0</v>
      </c>
      <c r="D105" s="24">
        <f>IFERROR(__xludf.DUMMYFUNCTION("""COMPUTED_VALUE"""),0.0)</f>
        <v>0</v>
      </c>
      <c r="E105" s="24">
        <f>IFERROR(__xludf.DUMMYFUNCTION("""COMPUTED_VALUE"""),0.0)</f>
        <v>0</v>
      </c>
      <c r="F105" s="24">
        <f>IFERROR(__xludf.DUMMYFUNCTION("""COMPUTED_VALUE"""),0.0)</f>
        <v>0</v>
      </c>
      <c r="G105" s="24">
        <f>IFERROR(__xludf.DUMMYFUNCTION("""COMPUTED_VALUE"""),0.0)</f>
        <v>0</v>
      </c>
      <c r="H105" s="66"/>
      <c r="I105" s="24">
        <f>IFERROR(__xludf.DUMMYFUNCTION("""COMPUTED_VALUE"""),0.0)</f>
        <v>0</v>
      </c>
      <c r="J105" s="24">
        <f>IFERROR(__xludf.DUMMYFUNCTION("""COMPUTED_VALUE"""),0.0)</f>
        <v>0</v>
      </c>
      <c r="K105" s="24">
        <f>IFERROR(__xludf.DUMMYFUNCTION("""COMPUTED_VALUE"""),0.0)</f>
        <v>0</v>
      </c>
      <c r="L105" s="24">
        <f>IFERROR(__xludf.DUMMYFUNCTION("""COMPUTED_VALUE"""),0.0)</f>
        <v>0</v>
      </c>
      <c r="M105" s="24">
        <f>IFERROR(__xludf.DUMMYFUNCTION("""COMPUTED_VALUE"""),0.0)</f>
        <v>0</v>
      </c>
      <c r="N105" s="24">
        <f>IFERROR(__xludf.DUMMYFUNCTION("""COMPUTED_VALUE"""),0.0)</f>
        <v>0</v>
      </c>
      <c r="O105" s="24">
        <f>IFERROR(__xludf.DUMMYFUNCTION("""COMPUTED_VALUE"""),0.0)</f>
        <v>0</v>
      </c>
      <c r="P105" s="16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11"/>
      <c r="D106" s="11"/>
      <c r="E106" s="11"/>
      <c r="F106" s="11"/>
      <c r="G106" s="11"/>
      <c r="H106" s="66"/>
      <c r="I106" s="11"/>
      <c r="J106" s="11">
        <f>IFERROR(__xludf.DUMMYFUNCTION("""COMPUTED_VALUE"""),0.0)</f>
        <v>0</v>
      </c>
      <c r="K106" s="11"/>
      <c r="L106" s="11"/>
      <c r="M106" s="11"/>
      <c r="N106" s="11"/>
      <c r="O106" s="77">
        <f>IFERROR(__xludf.DUMMYFUNCTION("""COMPUTED_VALUE"""),0.0)</f>
        <v>0</v>
      </c>
      <c r="P106" s="78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11"/>
      <c r="D107" s="11"/>
      <c r="E107" s="11"/>
      <c r="F107" s="11"/>
      <c r="G107" s="11"/>
      <c r="H107" s="66"/>
      <c r="I107" s="11"/>
      <c r="J107" s="11">
        <f>IFERROR(__xludf.DUMMYFUNCTION("""COMPUTED_VALUE"""),0.0)</f>
        <v>0</v>
      </c>
      <c r="K107" s="11"/>
      <c r="L107" s="11"/>
      <c r="M107" s="11"/>
      <c r="N107" s="11"/>
      <c r="O107" s="77">
        <f>IFERROR(__xludf.DUMMYFUNCTION("""COMPUTED_VALUE"""),0.0)</f>
        <v>0</v>
      </c>
      <c r="P107" s="78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IFERROR(__xludf.DUMMYFUNCTION("""COMPUTED_VALUE"""),-1.2965984363636363E7)</f>
        <v>-12965984.36</v>
      </c>
      <c r="C108" s="80">
        <f>IFERROR(__xludf.DUMMYFUNCTION("""COMPUTED_VALUE"""),-1.6718061363636363E7)</f>
        <v>-16718061.36</v>
      </c>
      <c r="D108" s="80">
        <f>IFERROR(__xludf.DUMMYFUNCTION("""COMPUTED_VALUE"""),-8758922.363636363)</f>
        <v>-8758922.364</v>
      </c>
      <c r="E108" s="80">
        <f>IFERROR(__xludf.DUMMYFUNCTION("""COMPUTED_VALUE"""),-1.3097623363636363E7)</f>
        <v>-13097623.36</v>
      </c>
      <c r="F108" s="80">
        <f>IFERROR(__xludf.DUMMYFUNCTION("""COMPUTED_VALUE"""),-2.3886751363636363E7)</f>
        <v>-23886751.36</v>
      </c>
      <c r="G108" s="80">
        <f>IFERROR(__xludf.DUMMYFUNCTION("""COMPUTED_VALUE"""),-1.2946411363636363E7)</f>
        <v>-12946411.36</v>
      </c>
      <c r="H108" s="66"/>
      <c r="I108" s="80">
        <f>IFERROR(__xludf.DUMMYFUNCTION("""COMPUTED_VALUE"""),-1.5149799363636363E7)</f>
        <v>-15149799.36</v>
      </c>
      <c r="J108" s="80">
        <f>IFERROR(__xludf.DUMMYFUNCTION("""COMPUTED_VALUE"""),-1.3137048363636363E7)</f>
        <v>-13137048.36</v>
      </c>
      <c r="K108" s="80">
        <f>IFERROR(__xludf.DUMMYFUNCTION("""COMPUTED_VALUE"""),0.0)</f>
        <v>0</v>
      </c>
      <c r="L108" s="80">
        <f>IFERROR(__xludf.DUMMYFUNCTION("""COMPUTED_VALUE"""),0.0)</f>
        <v>0</v>
      </c>
      <c r="M108" s="80">
        <f>IFERROR(__xludf.DUMMYFUNCTION("""COMPUTED_VALUE"""),0.0)</f>
        <v>0</v>
      </c>
      <c r="N108" s="80">
        <f>IFERROR(__xludf.DUMMYFUNCTION("""COMPUTED_VALUE"""),0.0)</f>
        <v>0</v>
      </c>
      <c r="O108" s="80">
        <f>IFERROR(__xludf.DUMMYFUNCTION("""COMPUTED_VALUE"""),-1.166606019090909E8)</f>
        <v>-116660601.9</v>
      </c>
      <c r="P108" s="22" t="str">
        <f>IFERROR(__xludf.DUMMYFUNCTION("""COMPUTED_VALUE"""),"")</f>
        <v/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IFERROR(__xludf.DUMMYFUNCTION("""COMPUTED_VALUE"""),-5186393.745454546)</f>
        <v>-5186393.745</v>
      </c>
      <c r="C109" s="24">
        <f>IFERROR(__xludf.DUMMYFUNCTION("""COMPUTED_VALUE"""),-6687224.545454546)</f>
        <v>-6687224.545</v>
      </c>
      <c r="D109" s="24">
        <f>IFERROR(__xludf.DUMMYFUNCTION("""COMPUTED_VALUE"""),-3503568.9454545453)</f>
        <v>-3503568.945</v>
      </c>
      <c r="E109" s="24">
        <f>IFERROR(__xludf.DUMMYFUNCTION("""COMPUTED_VALUE"""),-5239049.345454546)</f>
        <v>-5239049.345</v>
      </c>
      <c r="F109" s="24">
        <f>IFERROR(__xludf.DUMMYFUNCTION("""COMPUTED_VALUE"""),-9554700.545454545)</f>
        <v>-9554700.545</v>
      </c>
      <c r="G109" s="24">
        <f>IFERROR(__xludf.DUMMYFUNCTION("""COMPUTED_VALUE"""),-5178564.545454546)</f>
        <v>-5178564.545</v>
      </c>
      <c r="H109" s="66"/>
      <c r="I109" s="24">
        <f>IFERROR(__xludf.DUMMYFUNCTION("""COMPUTED_VALUE"""),-6059919.745454546)</f>
        <v>-6059919.745</v>
      </c>
      <c r="J109" s="24">
        <f>IFERROR(__xludf.DUMMYFUNCTION("""COMPUTED_VALUE"""),-5254819.345454546)</f>
        <v>-5254819.345</v>
      </c>
      <c r="K109" s="24">
        <f>IFERROR(__xludf.DUMMYFUNCTION("""COMPUTED_VALUE"""),0.0)</f>
        <v>0</v>
      </c>
      <c r="L109" s="24">
        <f>IFERROR(__xludf.DUMMYFUNCTION("""COMPUTED_VALUE"""),0.0)</f>
        <v>0</v>
      </c>
      <c r="M109" s="24">
        <f>IFERROR(__xludf.DUMMYFUNCTION("""COMPUTED_VALUE"""),0.0)</f>
        <v>0</v>
      </c>
      <c r="N109" s="24">
        <f>IFERROR(__xludf.DUMMYFUNCTION("""COMPUTED_VALUE"""),0.0)</f>
        <v>0</v>
      </c>
      <c r="O109" s="24">
        <f>IFERROR(__xludf.DUMMYFUNCTION("""COMPUTED_VALUE"""),-4.666424076363637E7)</f>
        <v>-46664240.76</v>
      </c>
      <c r="P109" s="16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IFERROR(__xludf.DUMMYFUNCTION("""COMPUTED_VALUE"""),-7779590.618181817)</f>
        <v>-7779590.618</v>
      </c>
      <c r="C110" s="80">
        <f>IFERROR(__xludf.DUMMYFUNCTION("""COMPUTED_VALUE"""),-1.0030836818181816E7)</f>
        <v>-10030836.82</v>
      </c>
      <c r="D110" s="80">
        <f>IFERROR(__xludf.DUMMYFUNCTION("""COMPUTED_VALUE"""),-5255353.418181818)</f>
        <v>-5255353.418</v>
      </c>
      <c r="E110" s="80">
        <f>IFERROR(__xludf.DUMMYFUNCTION("""COMPUTED_VALUE"""),-7858574.018181818)</f>
        <v>-7858574.018</v>
      </c>
      <c r="F110" s="80">
        <f>IFERROR(__xludf.DUMMYFUNCTION("""COMPUTED_VALUE"""),-1.4332050818181818E7)</f>
        <v>-14332050.82</v>
      </c>
      <c r="G110" s="80">
        <f>IFERROR(__xludf.DUMMYFUNCTION("""COMPUTED_VALUE"""),-7767846.818181817)</f>
        <v>-7767846.818</v>
      </c>
      <c r="H110" s="66"/>
      <c r="I110" s="80">
        <f>IFERROR(__xludf.DUMMYFUNCTION("""COMPUTED_VALUE"""),-9089879.618181817)</f>
        <v>-9089879.618</v>
      </c>
      <c r="J110" s="80">
        <f>IFERROR(__xludf.DUMMYFUNCTION("""COMPUTED_VALUE"""),-7882229.018181818)</f>
        <v>-7882229.018</v>
      </c>
      <c r="K110" s="80">
        <f>IFERROR(__xludf.DUMMYFUNCTION("""COMPUTED_VALUE"""),0.0)</f>
        <v>0</v>
      </c>
      <c r="L110" s="80">
        <f>IFERROR(__xludf.DUMMYFUNCTION("""COMPUTED_VALUE"""),0.0)</f>
        <v>0</v>
      </c>
      <c r="M110" s="80">
        <f>IFERROR(__xludf.DUMMYFUNCTION("""COMPUTED_VALUE"""),0.0)</f>
        <v>0</v>
      </c>
      <c r="N110" s="80">
        <f>IFERROR(__xludf.DUMMYFUNCTION("""COMPUTED_VALUE"""),0.0)</f>
        <v>0</v>
      </c>
      <c r="O110" s="80">
        <f>IFERROR(__xludf.DUMMYFUNCTION("""COMPUTED_VALUE"""),-6.999636114545454E7)</f>
        <v>-69996361.15</v>
      </c>
      <c r="P110" s="22" t="str">
        <f>IFERROR(__xludf.DUMMYFUNCTION("""COMPUTED_VALUE"""),"")</f>
        <v/>
      </c>
      <c r="Q110" s="16"/>
    </row>
    <row r="111" ht="15.75" customHeight="1">
      <c r="A111" s="48"/>
      <c r="B111" s="46"/>
      <c r="C111" s="24"/>
      <c r="D111" s="24"/>
      <c r="E111" s="24"/>
      <c r="F111" s="24"/>
      <c r="G111" s="24"/>
      <c r="H111" s="66"/>
      <c r="I111" s="24"/>
      <c r="J111" s="24"/>
      <c r="K111" s="24"/>
      <c r="L111" s="24"/>
      <c r="M111" s="24"/>
      <c r="N111" s="24"/>
      <c r="O111" s="24"/>
      <c r="P111" s="16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IFERROR(__xludf.DUMMYFUNCTION("""COMPUTED_VALUE"""),-1.2965984363636363E7)</f>
        <v>-12965984.36</v>
      </c>
      <c r="C112" s="80">
        <f>IFERROR(__xludf.DUMMYFUNCTION("""COMPUTED_VALUE"""),-1.6718061363636363E7)</f>
        <v>-16718061.36</v>
      </c>
      <c r="D112" s="80">
        <f>IFERROR(__xludf.DUMMYFUNCTION("""COMPUTED_VALUE"""),-8758922.363636363)</f>
        <v>-8758922.364</v>
      </c>
      <c r="E112" s="80">
        <f>IFERROR(__xludf.DUMMYFUNCTION("""COMPUTED_VALUE"""),-1.3097623363636363E7)</f>
        <v>-13097623.36</v>
      </c>
      <c r="F112" s="80">
        <f>IFERROR(__xludf.DUMMYFUNCTION("""COMPUTED_VALUE"""),-2.3886751363636363E7)</f>
        <v>-23886751.36</v>
      </c>
      <c r="G112" s="80">
        <f>IFERROR(__xludf.DUMMYFUNCTION("""COMPUTED_VALUE"""),-1.2946411363636363E7)</f>
        <v>-12946411.36</v>
      </c>
      <c r="H112" s="66"/>
      <c r="I112" s="80">
        <f>IFERROR(__xludf.DUMMYFUNCTION("""COMPUTED_VALUE"""),-1.5149799363636363E7)</f>
        <v>-15149799.36</v>
      </c>
      <c r="J112" s="80">
        <f>IFERROR(__xludf.DUMMYFUNCTION("""COMPUTED_VALUE"""),-1.3137048363636363E7)</f>
        <v>-13137048.36</v>
      </c>
      <c r="K112" s="80" t="str">
        <f>IFERROR(__xludf.DUMMYFUNCTION("""COMPUTED_VALUE"""),"")</f>
        <v/>
      </c>
      <c r="L112" s="80" t="str">
        <f>IFERROR(__xludf.DUMMYFUNCTION("""COMPUTED_VALUE"""),"")</f>
        <v/>
      </c>
      <c r="M112" s="80" t="str">
        <f>IFERROR(__xludf.DUMMYFUNCTION("""COMPUTED_VALUE"""),"")</f>
        <v/>
      </c>
      <c r="N112" s="80" t="str">
        <f>IFERROR(__xludf.DUMMYFUNCTION("""COMPUTED_VALUE"""),"")</f>
        <v/>
      </c>
      <c r="O112" s="80">
        <f>IFERROR(__xludf.DUMMYFUNCTION("""COMPUTED_VALUE"""),-1.4582575238636363E7)</f>
        <v>-14582575.24</v>
      </c>
      <c r="P112" s="22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IFERROR(__xludf.DUMMYFUNCTION("""COMPUTED_VALUE"""),1.0)</f>
        <v>1</v>
      </c>
      <c r="C113" s="81">
        <f>IFERROR(__xludf.DUMMYFUNCTION("""COMPUTED_VALUE"""),1.0)</f>
        <v>1</v>
      </c>
      <c r="D113" s="81">
        <f>IFERROR(__xludf.DUMMYFUNCTION("""COMPUTED_VALUE"""),1.0)</f>
        <v>1</v>
      </c>
      <c r="E113" s="81">
        <f>IFERROR(__xludf.DUMMYFUNCTION("""COMPUTED_VALUE"""),1.0)</f>
        <v>1</v>
      </c>
      <c r="F113" s="81">
        <f>IFERROR(__xludf.DUMMYFUNCTION("""COMPUTED_VALUE"""),1.0)</f>
        <v>1</v>
      </c>
      <c r="G113" s="81">
        <f>IFERROR(__xludf.DUMMYFUNCTION("""COMPUTED_VALUE"""),1.0)</f>
        <v>1</v>
      </c>
      <c r="H113" s="82"/>
      <c r="I113" s="81">
        <f>IFERROR(__xludf.DUMMYFUNCTION("""COMPUTED_VALUE"""),1.0)</f>
        <v>1</v>
      </c>
      <c r="J113" s="81">
        <f>IFERROR(__xludf.DUMMYFUNCTION("""COMPUTED_VALUE"""),1.0)</f>
        <v>1</v>
      </c>
      <c r="K113" s="81"/>
      <c r="L113" s="81"/>
      <c r="M113" s="81"/>
      <c r="N113" s="81"/>
      <c r="O113" s="79">
        <f>IFERROR(__xludf.DUMMYFUNCTION("""COMPUTED_VALUE"""),8.0)</f>
        <v>8</v>
      </c>
      <c r="P113" s="16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IFERROR(__xludf.DUMMYFUNCTION("""COMPUTED_VALUE"""),0.0)</f>
        <v>0</v>
      </c>
      <c r="C114" s="81">
        <f>IFERROR(__xludf.DUMMYFUNCTION("""COMPUTED_VALUE"""),0.0)</f>
        <v>0</v>
      </c>
      <c r="D114" s="81">
        <f>IFERROR(__xludf.DUMMYFUNCTION("""COMPUTED_VALUE"""),0.0)</f>
        <v>0</v>
      </c>
      <c r="E114" s="81"/>
      <c r="F114" s="81"/>
      <c r="G114" s="81"/>
      <c r="H114" s="82"/>
      <c r="I114" s="81"/>
      <c r="J114" s="81"/>
      <c r="K114" s="81"/>
      <c r="L114" s="81"/>
      <c r="M114" s="81"/>
      <c r="N114" s="81"/>
      <c r="O114" s="79">
        <f>IFERROR(__xludf.DUMMYFUNCTION("""COMPUTED_VALUE"""),0.0)</f>
        <v>0</v>
      </c>
      <c r="P114" s="16"/>
      <c r="Q114" s="16"/>
    </row>
    <row r="115" ht="15.75" customHeight="1">
      <c r="A115" s="48"/>
      <c r="B115" s="48"/>
      <c r="C115" s="3"/>
      <c r="D115" s="3"/>
      <c r="E115" s="3"/>
      <c r="F115" s="3"/>
      <c r="G115" s="3"/>
      <c r="H115" s="66"/>
      <c r="I115" s="3"/>
      <c r="J115" s="3"/>
      <c r="K115" s="3"/>
      <c r="L115" s="3"/>
      <c r="M115" s="3"/>
      <c r="N115" s="3"/>
      <c r="O115" s="79"/>
      <c r="P115" s="16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IFERROR(__xludf.DUMMYFUNCTION("""COMPUTED_VALUE"""),-1.2965984363636363E7)</f>
        <v>-12965984.36</v>
      </c>
      <c r="C116" s="80">
        <f>IFERROR(__xludf.DUMMYFUNCTION("""COMPUTED_VALUE"""),-1.6718061363636363E7)</f>
        <v>-16718061.36</v>
      </c>
      <c r="D116" s="80">
        <f>IFERROR(__xludf.DUMMYFUNCTION("""COMPUTED_VALUE"""),-8758922.363636363)</f>
        <v>-8758922.364</v>
      </c>
      <c r="E116" s="80">
        <f>IFERROR(__xludf.DUMMYFUNCTION("""COMPUTED_VALUE"""),-1.3097623363636363E7)</f>
        <v>-13097623.36</v>
      </c>
      <c r="F116" s="80">
        <f>IFERROR(__xludf.DUMMYFUNCTION("""COMPUTED_VALUE"""),-2.3886751363636363E7)</f>
        <v>-23886751.36</v>
      </c>
      <c r="G116" s="80">
        <f>IFERROR(__xludf.DUMMYFUNCTION("""COMPUTED_VALUE"""),-1.2946411363636363E7)</f>
        <v>-12946411.36</v>
      </c>
      <c r="H116" s="66"/>
      <c r="I116" s="80">
        <f>IFERROR(__xludf.DUMMYFUNCTION("""COMPUTED_VALUE"""),-1.5149799363636363E7)</f>
        <v>-15149799.36</v>
      </c>
      <c r="J116" s="80">
        <f>IFERROR(__xludf.DUMMYFUNCTION("""COMPUTED_VALUE"""),-1.3137048363636363E7)</f>
        <v>-13137048.36</v>
      </c>
      <c r="K116" s="80">
        <f>IFERROR(__xludf.DUMMYFUNCTION("""COMPUTED_VALUE"""),0.0)</f>
        <v>0</v>
      </c>
      <c r="L116" s="80">
        <f>IFERROR(__xludf.DUMMYFUNCTION("""COMPUTED_VALUE"""),0.0)</f>
        <v>0</v>
      </c>
      <c r="M116" s="80">
        <f>IFERROR(__xludf.DUMMYFUNCTION("""COMPUTED_VALUE"""),0.0)</f>
        <v>0</v>
      </c>
      <c r="N116" s="80">
        <f>IFERROR(__xludf.DUMMYFUNCTION("""COMPUTED_VALUE"""),0.0)</f>
        <v>0</v>
      </c>
      <c r="O116" s="80">
        <f>IFERROR(__xludf.DUMMYFUNCTION("""COMPUTED_VALUE"""),-1.166606019090909E8)</f>
        <v>-116660601.9</v>
      </c>
      <c r="P116" s="22" t="str">
        <f>IFERROR(__xludf.DUMMYFUNCTION("""COMPUTED_VALUE"""),"")</f>
        <v/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IFERROR(__xludf.DUMMYFUNCTION("""COMPUTED_VALUE"""),-1.2965984363636363E7)</f>
        <v>-12965984.36</v>
      </c>
      <c r="C117" s="24">
        <f>IFERROR(__xludf.DUMMYFUNCTION("""COMPUTED_VALUE"""),-1.6718061363636363E7)</f>
        <v>-16718061.36</v>
      </c>
      <c r="D117" s="24">
        <f>IFERROR(__xludf.DUMMYFUNCTION("""COMPUTED_VALUE"""),-8758922.363636363)</f>
        <v>-8758922.364</v>
      </c>
      <c r="E117" s="24">
        <f>IFERROR(__xludf.DUMMYFUNCTION("""COMPUTED_VALUE"""),-1.3097623363636363E7)</f>
        <v>-13097623.36</v>
      </c>
      <c r="F117" s="24">
        <f>IFERROR(__xludf.DUMMYFUNCTION("""COMPUTED_VALUE"""),-2.3886751363636363E7)</f>
        <v>-23886751.36</v>
      </c>
      <c r="G117" s="24">
        <f>IFERROR(__xludf.DUMMYFUNCTION("""COMPUTED_VALUE"""),-1.2946411363636363E7)</f>
        <v>-12946411.36</v>
      </c>
      <c r="H117" s="66"/>
      <c r="I117" s="24">
        <f>IFERROR(__xludf.DUMMYFUNCTION("""COMPUTED_VALUE"""),-1.5149799363636363E7)</f>
        <v>-15149799.36</v>
      </c>
      <c r="J117" s="24">
        <f>IFERROR(__xludf.DUMMYFUNCTION("""COMPUTED_VALUE"""),-1.3137048363636363E7)</f>
        <v>-13137048.36</v>
      </c>
      <c r="K117" s="24">
        <f>IFERROR(__xludf.DUMMYFUNCTION("""COMPUTED_VALUE"""),0.0)</f>
        <v>0</v>
      </c>
      <c r="L117" s="24">
        <f>IFERROR(__xludf.DUMMYFUNCTION("""COMPUTED_VALUE"""),0.0)</f>
        <v>0</v>
      </c>
      <c r="M117" s="24">
        <f>IFERROR(__xludf.DUMMYFUNCTION("""COMPUTED_VALUE"""),0.0)</f>
        <v>0</v>
      </c>
      <c r="N117" s="24">
        <f>IFERROR(__xludf.DUMMYFUNCTION("""COMPUTED_VALUE"""),0.0)</f>
        <v>0</v>
      </c>
      <c r="O117" s="66">
        <f>IFERROR(__xludf.DUMMYFUNCTION("""COMPUTED_VALUE"""),-1.166606019090909E8)</f>
        <v>-116660601.9</v>
      </c>
      <c r="P117" s="60" t="str">
        <f>IFERROR(__xludf.DUMMYFUNCTION("""COMPUTED_VALUE"""),"")</f>
        <v/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83"/>
      <c r="C118" s="83"/>
      <c r="D118" s="83"/>
      <c r="E118" s="83"/>
      <c r="F118" s="83"/>
      <c r="G118" s="83"/>
      <c r="H118" s="84"/>
      <c r="I118" s="83"/>
      <c r="J118" s="83"/>
      <c r="K118" s="83"/>
      <c r="L118" s="83"/>
      <c r="M118" s="83"/>
      <c r="N118" s="83"/>
      <c r="O118" s="85"/>
      <c r="P118" s="60"/>
      <c r="Q118" s="60"/>
    </row>
    <row r="119" ht="15.75" customHeight="1">
      <c r="A119" s="57" t="str">
        <f>IFERROR(__xludf.DUMMYFUNCTION("""COMPUTED_VALUE"""),"配布割合")</f>
        <v>配布割合</v>
      </c>
      <c r="B119" s="86"/>
      <c r="C119" s="86"/>
      <c r="D119" s="86"/>
      <c r="E119" s="86"/>
      <c r="F119" s="86"/>
      <c r="G119" s="86"/>
      <c r="H119" s="85"/>
      <c r="I119" s="86"/>
      <c r="J119" s="86"/>
      <c r="K119" s="86"/>
      <c r="L119" s="86"/>
      <c r="M119" s="86"/>
      <c r="N119" s="86"/>
      <c r="O119" s="86"/>
      <c r="P119" s="60"/>
      <c r="Q119" s="60"/>
    </row>
    <row r="120" ht="15.75" customHeight="1">
      <c r="A120" s="57" t="str">
        <f>IFERROR(__xludf.DUMMYFUNCTION("""COMPUTED_VALUE"""),"配布額")</f>
        <v>配布額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5"/>
      <c r="P120" s="60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IFERROR(__xludf.DUMMYFUNCTION("""COMPUTED_VALUE"""),1.0379897E7)</f>
        <v>10379897</v>
      </c>
      <c r="C122" s="46">
        <f>IFERROR(__xludf.DUMMYFUNCTION("""COMPUTED_VALUE"""),1.4134981E7)</f>
        <v>14134981</v>
      </c>
      <c r="D122" s="46">
        <f>IFERROR(__xludf.DUMMYFUNCTION("""COMPUTED_VALUE"""),6172950.0)</f>
        <v>6172950</v>
      </c>
      <c r="E122" s="46">
        <f>IFERROR(__xludf.DUMMYFUNCTION("""COMPUTED_VALUE"""),1.0461337E7)</f>
        <v>10461337</v>
      </c>
      <c r="F122" s="46">
        <f>IFERROR(__xludf.DUMMYFUNCTION("""COMPUTED_VALUE"""),2.1250286E7)</f>
        <v>21250286</v>
      </c>
      <c r="G122" s="46">
        <f>IFERROR(__xludf.DUMMYFUNCTION("""COMPUTED_VALUE"""),1.0309285E7)</f>
        <v>10309285</v>
      </c>
      <c r="H122" s="24"/>
      <c r="I122" s="46">
        <f>IFERROR(__xludf.DUMMYFUNCTION("""COMPUTED_VALUE"""),1.2512872E7)</f>
        <v>12512872</v>
      </c>
      <c r="J122" s="46">
        <f>IFERROR(__xludf.DUMMYFUNCTION("""COMPUTED_VALUE"""),1.0501872E7)</f>
        <v>10501872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IFERROR(__xludf.DUMMYFUNCTION("IMPORTRANGE(""https://docs.google.com/spreadsheets/d/1SlHuJEDBJ4Gy3WXeRPN-U9OYonTEM2Yhh4rIuiFr5bQ/edit#gid=256474166"",""管計!A:S"")"),"2022年度")</f>
        <v>2022年度</v>
      </c>
      <c r="B1" s="38"/>
      <c r="C1" s="39"/>
      <c r="D1" s="40"/>
      <c r="E1" s="48" t="str">
        <f>IFERROR(__xludf.DUMMYFUNCTION("""COMPUTED_VALUE"""),"内部送客+管理+管理（その他）")</f>
        <v>内部送客+管理+管理（その他）</v>
      </c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IFERROR(__xludf.DUMMYFUNCTION("""COMPUTED_VALUE"""),"管理合計")</f>
        <v>管理合計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IFERROR(__xludf.DUMMYFUNCTION("""COMPUTED_VALUE"""),0.0)</f>
        <v>0</v>
      </c>
      <c r="C3" s="44">
        <f>IFERROR(__xludf.DUMMYFUNCTION("""COMPUTED_VALUE"""),0.0)</f>
        <v>0</v>
      </c>
      <c r="D3" s="44">
        <f>IFERROR(__xludf.DUMMYFUNCTION("""COMPUTED_VALUE"""),11000.0)</f>
        <v>11000</v>
      </c>
      <c r="E3" s="44">
        <f>IFERROR(__xludf.DUMMYFUNCTION("""COMPUTED_VALUE"""),0.0)</f>
        <v>0</v>
      </c>
      <c r="F3" s="44">
        <f>IFERROR(__xludf.DUMMYFUNCTION("""COMPUTED_VALUE"""),0.0)</f>
        <v>0</v>
      </c>
      <c r="G3" s="44">
        <f>IFERROR(__xludf.DUMMYFUNCTION("""COMPUTED_VALUE"""),0.0)</f>
        <v>0</v>
      </c>
      <c r="H3" s="24"/>
      <c r="I3" s="44">
        <f>IFERROR(__xludf.DUMMYFUNCTION("""COMPUTED_VALUE"""),0.0)</f>
        <v>0</v>
      </c>
      <c r="J3" s="44">
        <f>IFERROR(__xludf.DUMMYFUNCTION("""COMPUTED_VALUE"""),0.0)</f>
        <v>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IFERROR(__xludf.DUMMYFUNCTION("""COMPUTED_VALUE"""),11000.0)</f>
        <v>11000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IFERROR(__xludf.DUMMYFUNCTION("""COMPUTED_VALUE"""),"講師求人")</f>
        <v>講師求人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IFERROR(__xludf.DUMMYFUNCTION("""COMPUTED_VALUE"""),"放課後支援")</f>
        <v>放課後支援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IFERROR(__xludf.DUMMYFUNCTION("""COMPUTED_VALUE"""),"採点OS")</f>
        <v>採点OS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IFERROR(__xludf.DUMMYFUNCTION("""COMPUTED_VALUE"""),"GEC")</f>
        <v>GEC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IFERROR(__xludf.DUMMYFUNCTION("""COMPUTED_VALUE"""),"未来教育創造")</f>
        <v>未来教育創造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IFERROR(__xludf.DUMMYFUNCTION("""COMPUTED_VALUE"""),"経営投資")</f>
        <v>経営投資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IFERROR(__xludf.DUMMYFUNCTION("""COMPUTED_VALUE"""),"内部送客")</f>
        <v>内部送客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>
        <f>IFERROR(__xludf.DUMMYFUNCTION("""COMPUTED_VALUE"""),11000.0)</f>
        <v>11000</v>
      </c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IFERROR(__xludf.DUMMYFUNCTION("""COMPUTED_VALUE"""),11000.0)</f>
        <v>11000</v>
      </c>
      <c r="P13" s="47">
        <f>IFERROR(__xludf.DUMMYFUNCTION("""COMPUTED_VALUE"""),1.0)</f>
        <v>1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>
        <f>IFERROR(__xludf.DUMMYFUNCTION("""COMPUTED_VALUE"""),0.0)</f>
        <v>0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IFERROR(__xludf.DUMMYFUNCTION("""COMPUTED_VALUE"""),"講師求人")</f>
        <v>講師求人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IFERROR(__xludf.DUMMYFUNCTION("""COMPUTED_VALUE"""),"放課後支援")</f>
        <v>放課後支援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IFERROR(__xludf.DUMMYFUNCTION("""COMPUTED_VALUE"""),"採点OS")</f>
        <v>採点OS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IFERROR(__xludf.DUMMYFUNCTION("""COMPUTED_VALUE"""),"GEC")</f>
        <v>GEC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IFERROR(__xludf.DUMMYFUNCTION("""COMPUTED_VALUE"""),"未来教育創造")</f>
        <v>未来教育創造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IFERROR(__xludf.DUMMYFUNCTION("""COMPUTED_VALUE"""),"経営投資")</f>
        <v>経営投資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/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IFERROR(__xludf.DUMMYFUNCTION("""COMPUTED_VALUE"""),0.0)</f>
        <v>0</v>
      </c>
      <c r="C29" s="44">
        <f>IFERROR(__xludf.DUMMYFUNCTION("""COMPUTED_VALUE"""),0.0)</f>
        <v>0</v>
      </c>
      <c r="D29" s="44">
        <f>IFERROR(__xludf.DUMMYFUNCTION("""COMPUTED_VALUE"""),11000.0)</f>
        <v>11000</v>
      </c>
      <c r="E29" s="44">
        <f>IFERROR(__xludf.DUMMYFUNCTION("""COMPUTED_VALUE"""),0.0)</f>
        <v>0</v>
      </c>
      <c r="F29" s="44">
        <f>IFERROR(__xludf.DUMMYFUNCTION("""COMPUTED_VALUE"""),0.0)</f>
        <v>0</v>
      </c>
      <c r="G29" s="44">
        <f>IFERROR(__xludf.DUMMYFUNCTION("""COMPUTED_VALUE"""),0.0)</f>
        <v>0</v>
      </c>
      <c r="H29" s="24"/>
      <c r="I29" s="44">
        <f>IFERROR(__xludf.DUMMYFUNCTION("""COMPUTED_VALUE"""),0.0)</f>
        <v>0</v>
      </c>
      <c r="J29" s="44">
        <f>IFERROR(__xludf.DUMMYFUNCTION("""COMPUTED_VALUE"""),0.0)</f>
        <v>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IFERROR(__xludf.DUMMYFUNCTION("""COMPUTED_VALUE"""),11000.0)</f>
        <v>11000</v>
      </c>
      <c r="P29" s="45">
        <f>IFERROR(__xludf.DUMMYFUNCTION("""COMPUTED_VALUE"""),1.0)</f>
        <v>1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IFERROR(__xludf.DUMMYFUNCTION("""COMPUTED_VALUE"""),"講師求人")</f>
        <v>講師求人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IFERROR(__xludf.DUMMYFUNCTION("""COMPUTED_VALUE"""),"放課後支援")</f>
        <v>放課後支援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IFERROR(__xludf.DUMMYFUNCTION("""COMPUTED_VALUE"""),"採点OS")</f>
        <v>採点OS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IFERROR(__xludf.DUMMYFUNCTION("""COMPUTED_VALUE"""),"GEC")</f>
        <v>GEC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IFERROR(__xludf.DUMMYFUNCTION("""COMPUTED_VALUE"""),"未来教育創造")</f>
        <v>未来教育創造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24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IFERROR(__xludf.DUMMYFUNCTION("""COMPUTED_VALUE"""),"経営投資")</f>
        <v>経営投資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24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/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24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>
        <f>IFERROR(__xludf.DUMMYFUNCTION("""COMPUTED_VALUE"""),11000.0)</f>
        <v>11000</v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24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IFERROR(__xludf.DUMMYFUNCTION("""COMPUTED_VALUE"""),11000.0)</f>
        <v>11000</v>
      </c>
      <c r="P39" s="47">
        <f>IFERROR(__xludf.DUMMYFUNCTION("""COMPUTED_VALUE"""),1.0)</f>
        <v>1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24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24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 t="str">
        <f>IFERROR(__xludf.DUMMYFUNCTION("""COMPUTED_VALUE"""),"")</f>
        <v/>
      </c>
      <c r="C42" s="49" t="str">
        <f>IFERROR(__xludf.DUMMYFUNCTION("""COMPUTED_VALUE"""),"")</f>
        <v/>
      </c>
      <c r="D42" s="49">
        <f>IFERROR(__xludf.DUMMYFUNCTION("""COMPUTED_VALUE"""),1.0)</f>
        <v>1</v>
      </c>
      <c r="E42" s="49" t="str">
        <f>IFERROR(__xludf.DUMMYFUNCTION("""COMPUTED_VALUE"""),"")</f>
        <v/>
      </c>
      <c r="F42" s="49" t="str">
        <f>IFERROR(__xludf.DUMMYFUNCTION("""COMPUTED_VALUE"""),"")</f>
        <v/>
      </c>
      <c r="G42" s="49" t="str">
        <f>IFERROR(__xludf.DUMMYFUNCTION("""COMPUTED_VALUE"""),"")</f>
        <v/>
      </c>
      <c r="H42" s="24"/>
      <c r="I42" s="49" t="str">
        <f>IFERROR(__xludf.DUMMYFUNCTION("""COMPUTED_VALUE"""),"")</f>
        <v/>
      </c>
      <c r="J42" s="49" t="str">
        <f>IFERROR(__xludf.DUMMYFUNCTION("""COMPUTED_VALUE"""),"")</f>
        <v/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IFERROR(__xludf.DUMMYFUNCTION("""COMPUTED_VALUE"""),1.0)</f>
        <v>1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24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IFERROR(__xludf.DUMMYFUNCTION("""COMPUTED_VALUE"""),3.298746918181818E7)</f>
        <v>32987469.18</v>
      </c>
      <c r="C44" s="44">
        <f>IFERROR(__xludf.DUMMYFUNCTION("""COMPUTED_VALUE"""),3.2706391272727273E7)</f>
        <v>32706391.27</v>
      </c>
      <c r="D44" s="44">
        <f>IFERROR(__xludf.DUMMYFUNCTION("""COMPUTED_VALUE"""),2.536667009090909E7)</f>
        <v>25366670.09</v>
      </c>
      <c r="E44" s="44">
        <f>IFERROR(__xludf.DUMMYFUNCTION("""COMPUTED_VALUE"""),2.4533118818181816E7)</f>
        <v>24533118.82</v>
      </c>
      <c r="F44" s="44">
        <f>IFERROR(__xludf.DUMMYFUNCTION("""COMPUTED_VALUE"""),3.536199154545455E7)</f>
        <v>35361991.55</v>
      </c>
      <c r="G44" s="44">
        <f>IFERROR(__xludf.DUMMYFUNCTION("""COMPUTED_VALUE"""),2.4558090454545453E7)</f>
        <v>24558090.45</v>
      </c>
      <c r="H44" s="24"/>
      <c r="I44" s="44">
        <f>IFERROR(__xludf.DUMMYFUNCTION("""COMPUTED_VALUE"""),2.8132327636363637E7)</f>
        <v>28132327.64</v>
      </c>
      <c r="J44" s="44">
        <f>IFERROR(__xludf.DUMMYFUNCTION("""COMPUTED_VALUE"""),2.654361481818182E7)</f>
        <v>26543614.82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IFERROR(__xludf.DUMMYFUNCTION("""COMPUTED_VALUE"""),2.301896738181818E8)</f>
        <v>230189673.8</v>
      </c>
      <c r="P44" s="45">
        <f>IFERROR(__xludf.DUMMYFUNCTION("""COMPUTED_VALUE"""),20926.333983471075)</f>
        <v>20926.33398</v>
      </c>
      <c r="Q44" s="16"/>
    </row>
    <row r="45" ht="15.75" customHeight="1">
      <c r="A45" s="48" t="str">
        <f>IFERROR(__xludf.DUMMYFUNCTION("""COMPUTED_VALUE"""),"通信費")</f>
        <v>通信費</v>
      </c>
      <c r="B45" s="91">
        <f>IFERROR(__xludf.DUMMYFUNCTION("""COMPUTED_VALUE"""),3605746.0)</f>
        <v>3605746</v>
      </c>
      <c r="C45" s="91">
        <f>IFERROR(__xludf.DUMMYFUNCTION("""COMPUTED_VALUE"""),1010776.0)</f>
        <v>1010776</v>
      </c>
      <c r="D45" s="91">
        <f>IFERROR(__xludf.DUMMYFUNCTION("""COMPUTED_VALUE"""),960692.0)</f>
        <v>960692</v>
      </c>
      <c r="E45" s="91">
        <f>IFERROR(__xludf.DUMMYFUNCTION("""COMPUTED_VALUE"""),1709193.0)</f>
        <v>1709193</v>
      </c>
      <c r="F45" s="91">
        <f>IFERROR(__xludf.DUMMYFUNCTION("""COMPUTED_VALUE"""),1146207.0)</f>
        <v>1146207</v>
      </c>
      <c r="G45" s="91">
        <f>IFERROR(__xludf.DUMMYFUNCTION("""COMPUTED_VALUE"""),1545848.0)</f>
        <v>1545848</v>
      </c>
      <c r="H45" s="24"/>
      <c r="I45" s="91">
        <f>IFERROR(__xludf.DUMMYFUNCTION("""COMPUTED_VALUE"""),1180693.0)</f>
        <v>1180693</v>
      </c>
      <c r="J45" s="91">
        <f>IFERROR(__xludf.DUMMYFUNCTION("""COMPUTED_VALUE"""),2583812.0)</f>
        <v>2583812</v>
      </c>
      <c r="K45" s="91">
        <f>IFERROR(__xludf.DUMMYFUNCTION("""COMPUTED_VALUE"""),0.0)</f>
        <v>0</v>
      </c>
      <c r="L45" s="91">
        <f>IFERROR(__xludf.DUMMYFUNCTION("""COMPUTED_VALUE"""),0.0)</f>
        <v>0</v>
      </c>
      <c r="M45" s="91">
        <f>IFERROR(__xludf.DUMMYFUNCTION("""COMPUTED_VALUE"""),0.0)</f>
        <v>0</v>
      </c>
      <c r="N45" s="91">
        <f>IFERROR(__xludf.DUMMYFUNCTION("""COMPUTED_VALUE"""),0.0)</f>
        <v>0</v>
      </c>
      <c r="O45" s="46">
        <f>IFERROR(__xludf.DUMMYFUNCTION("""COMPUTED_VALUE"""),1.3742967E7)</f>
        <v>13742967</v>
      </c>
      <c r="P45" s="47">
        <f>IFERROR(__xludf.DUMMYFUNCTION("""COMPUTED_VALUE"""),0.059702795403650706)</f>
        <v>0.0597027954</v>
      </c>
      <c r="Q45" s="16"/>
    </row>
    <row r="46" ht="15.75" customHeight="1">
      <c r="A46" s="51" t="str">
        <f>IFERROR(__xludf.DUMMYFUNCTION("""COMPUTED_VALUE"""),"電話料金")</f>
        <v>電話料金</v>
      </c>
      <c r="B46" s="92">
        <f>IFERROR(__xludf.DUMMYFUNCTION("""COMPUTED_VALUE"""),38656.0)</f>
        <v>38656</v>
      </c>
      <c r="C46" s="92">
        <f>IFERROR(__xludf.DUMMYFUNCTION("""COMPUTED_VALUE"""),30068.0)</f>
        <v>30068</v>
      </c>
      <c r="D46" s="92">
        <f>IFERROR(__xludf.DUMMYFUNCTION("""COMPUTED_VALUE"""),38703.0)</f>
        <v>38703</v>
      </c>
      <c r="E46" s="92">
        <f>IFERROR(__xludf.DUMMYFUNCTION("""COMPUTED_VALUE"""),29918.0)</f>
        <v>29918</v>
      </c>
      <c r="F46" s="92">
        <f>IFERROR(__xludf.DUMMYFUNCTION("""COMPUTED_VALUE"""),38966.0)</f>
        <v>38966</v>
      </c>
      <c r="G46" s="92">
        <f>IFERROR(__xludf.DUMMYFUNCTION("""COMPUTED_VALUE"""),29637.0)</f>
        <v>29637</v>
      </c>
      <c r="H46" s="24"/>
      <c r="I46" s="92">
        <f>IFERROR(__xludf.DUMMYFUNCTION("""COMPUTED_VALUE"""),46934.0)</f>
        <v>46934</v>
      </c>
      <c r="J46" s="92">
        <f>IFERROR(__xludf.DUMMYFUNCTION("""COMPUTED_VALUE"""),39846.0)</f>
        <v>39846</v>
      </c>
      <c r="K46" s="92">
        <f>IFERROR(__xludf.DUMMYFUNCTION("""COMPUTED_VALUE"""),0.0)</f>
        <v>0</v>
      </c>
      <c r="L46" s="92">
        <f>IFERROR(__xludf.DUMMYFUNCTION("""COMPUTED_VALUE"""),0.0)</f>
        <v>0</v>
      </c>
      <c r="M46" s="92">
        <f>IFERROR(__xludf.DUMMYFUNCTION("""COMPUTED_VALUE"""),0.0)</f>
        <v>0</v>
      </c>
      <c r="N46" s="92">
        <f>IFERROR(__xludf.DUMMYFUNCTION("""COMPUTED_VALUE"""),0.0)</f>
        <v>0</v>
      </c>
      <c r="O46" s="52">
        <f>IFERROR(__xludf.DUMMYFUNCTION("""COMPUTED_VALUE"""),292728.0)</f>
        <v>292728</v>
      </c>
      <c r="P46" s="53">
        <f>IFERROR(__xludf.DUMMYFUNCTION("""COMPUTED_VALUE"""),0.02130020395159211)</f>
        <v>0.02130020395</v>
      </c>
      <c r="Q46" s="16"/>
    </row>
    <row r="47" ht="15.75" customHeight="1">
      <c r="A47" s="51" t="str">
        <f>IFERROR(__xludf.DUMMYFUNCTION("""COMPUTED_VALUE"""),"送料")</f>
        <v>送料</v>
      </c>
      <c r="B47" s="92">
        <f>IFERROR(__xludf.DUMMYFUNCTION("""COMPUTED_VALUE"""),1972.0)</f>
        <v>1972</v>
      </c>
      <c r="C47" s="92">
        <f>IFERROR(__xludf.DUMMYFUNCTION("""COMPUTED_VALUE"""),2544.0)</f>
        <v>2544</v>
      </c>
      <c r="D47" s="92">
        <f>IFERROR(__xludf.DUMMYFUNCTION("""COMPUTED_VALUE"""),1332.0)</f>
        <v>1332</v>
      </c>
      <c r="E47" s="92">
        <f>IFERROR(__xludf.DUMMYFUNCTION("""COMPUTED_VALUE"""),1314.0)</f>
        <v>1314</v>
      </c>
      <c r="F47" s="92">
        <f>IFERROR(__xludf.DUMMYFUNCTION("""COMPUTED_VALUE"""),2252.0)</f>
        <v>2252</v>
      </c>
      <c r="G47" s="92">
        <f>IFERROR(__xludf.DUMMYFUNCTION("""COMPUTED_VALUE"""),1446.0)</f>
        <v>1446</v>
      </c>
      <c r="H47" s="24"/>
      <c r="I47" s="92">
        <f>IFERROR(__xludf.DUMMYFUNCTION("""COMPUTED_VALUE"""),7988.0)</f>
        <v>7988</v>
      </c>
      <c r="J47" s="92">
        <f>IFERROR(__xludf.DUMMYFUNCTION("""COMPUTED_VALUE"""),29423.0)</f>
        <v>29423</v>
      </c>
      <c r="K47" s="92">
        <f>IFERROR(__xludf.DUMMYFUNCTION("""COMPUTED_VALUE"""),0.0)</f>
        <v>0</v>
      </c>
      <c r="L47" s="92">
        <f>IFERROR(__xludf.DUMMYFUNCTION("""COMPUTED_VALUE"""),0.0)</f>
        <v>0</v>
      </c>
      <c r="M47" s="92">
        <f>IFERROR(__xludf.DUMMYFUNCTION("""COMPUTED_VALUE"""),0.0)</f>
        <v>0</v>
      </c>
      <c r="N47" s="92">
        <f>IFERROR(__xludf.DUMMYFUNCTION("""COMPUTED_VALUE"""),0.0)</f>
        <v>0</v>
      </c>
      <c r="O47" s="52">
        <f>IFERROR(__xludf.DUMMYFUNCTION("""COMPUTED_VALUE"""),48271.0)</f>
        <v>48271</v>
      </c>
      <c r="P47" s="53">
        <f>IFERROR(__xludf.DUMMYFUNCTION("""COMPUTED_VALUE"""),0.00351241475003178)</f>
        <v>0.00351241475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92">
        <f>IFERROR(__xludf.DUMMYFUNCTION("""COMPUTED_VALUE"""),3562918.0)</f>
        <v>3562918</v>
      </c>
      <c r="C48" s="92">
        <f>IFERROR(__xludf.DUMMYFUNCTION("""COMPUTED_VALUE"""),975964.0)</f>
        <v>975964</v>
      </c>
      <c r="D48" s="92">
        <f>IFERROR(__xludf.DUMMYFUNCTION("""COMPUTED_VALUE"""),918457.0)</f>
        <v>918457</v>
      </c>
      <c r="E48" s="92">
        <f>IFERROR(__xludf.DUMMYFUNCTION("""COMPUTED_VALUE"""),1675761.0)</f>
        <v>1675761</v>
      </c>
      <c r="F48" s="92">
        <f>IFERROR(__xludf.DUMMYFUNCTION("""COMPUTED_VALUE"""),1102789.0)</f>
        <v>1102789</v>
      </c>
      <c r="G48" s="92">
        <f>IFERROR(__xludf.DUMMYFUNCTION("""COMPUTED_VALUE"""),1512565.0)</f>
        <v>1512565</v>
      </c>
      <c r="H48" s="24"/>
      <c r="I48" s="92">
        <f>IFERROR(__xludf.DUMMYFUNCTION("""COMPUTED_VALUE"""),1123571.0)</f>
        <v>1123571</v>
      </c>
      <c r="J48" s="92">
        <f>IFERROR(__xludf.DUMMYFUNCTION("""COMPUTED_VALUE"""),2512343.0)</f>
        <v>2512343</v>
      </c>
      <c r="K48" s="92">
        <f>IFERROR(__xludf.DUMMYFUNCTION("""COMPUTED_VALUE"""),0.0)</f>
        <v>0</v>
      </c>
      <c r="L48" s="92">
        <f>IFERROR(__xludf.DUMMYFUNCTION("""COMPUTED_VALUE"""),0.0)</f>
        <v>0</v>
      </c>
      <c r="M48" s="92">
        <f>IFERROR(__xludf.DUMMYFUNCTION("""COMPUTED_VALUE"""),0.0)</f>
        <v>0</v>
      </c>
      <c r="N48" s="92">
        <f>IFERROR(__xludf.DUMMYFUNCTION("""COMPUTED_VALUE"""),0.0)</f>
        <v>0</v>
      </c>
      <c r="O48" s="52">
        <f>IFERROR(__xludf.DUMMYFUNCTION("""COMPUTED_VALUE"""),1.3384368E7)</f>
        <v>13384368</v>
      </c>
      <c r="P48" s="53">
        <f>IFERROR(__xludf.DUMMYFUNCTION("""COMPUTED_VALUE"""),0.9739067262549638)</f>
        <v>0.9739067263</v>
      </c>
      <c r="Q48" s="16"/>
    </row>
    <row r="49" ht="15.75" customHeight="1">
      <c r="A49" s="51" t="str">
        <f>IFERROR(__xludf.DUMMYFUNCTION("""COMPUTED_VALUE"""),"その他")</f>
        <v>その他</v>
      </c>
      <c r="B49" s="92">
        <f>IFERROR(__xludf.DUMMYFUNCTION("""COMPUTED_VALUE"""),2200.0)</f>
        <v>2200</v>
      </c>
      <c r="C49" s="92">
        <f>IFERROR(__xludf.DUMMYFUNCTION("""COMPUTED_VALUE"""),2200.0)</f>
        <v>2200</v>
      </c>
      <c r="D49" s="92">
        <f>IFERROR(__xludf.DUMMYFUNCTION("""COMPUTED_VALUE"""),2200.0)</f>
        <v>2200</v>
      </c>
      <c r="E49" s="92">
        <f>IFERROR(__xludf.DUMMYFUNCTION("""COMPUTED_VALUE"""),2200.0)</f>
        <v>2200</v>
      </c>
      <c r="F49" s="92">
        <f>IFERROR(__xludf.DUMMYFUNCTION("""COMPUTED_VALUE"""),2200.0)</f>
        <v>2200</v>
      </c>
      <c r="G49" s="92">
        <f>IFERROR(__xludf.DUMMYFUNCTION("""COMPUTED_VALUE"""),2200.0)</f>
        <v>2200</v>
      </c>
      <c r="H49" s="24"/>
      <c r="I49" s="92">
        <f>IFERROR(__xludf.DUMMYFUNCTION("""COMPUTED_VALUE"""),2200.0)</f>
        <v>2200</v>
      </c>
      <c r="J49" s="92">
        <f>IFERROR(__xludf.DUMMYFUNCTION("""COMPUTED_VALUE"""),2200.0)</f>
        <v>2200</v>
      </c>
      <c r="K49" s="92">
        <f>IFERROR(__xludf.DUMMYFUNCTION("""COMPUTED_VALUE"""),0.0)</f>
        <v>0</v>
      </c>
      <c r="L49" s="92">
        <f>IFERROR(__xludf.DUMMYFUNCTION("""COMPUTED_VALUE"""),0.0)</f>
        <v>0</v>
      </c>
      <c r="M49" s="92">
        <f>IFERROR(__xludf.DUMMYFUNCTION("""COMPUTED_VALUE"""),0.0)</f>
        <v>0</v>
      </c>
      <c r="N49" s="92">
        <f>IFERROR(__xludf.DUMMYFUNCTION("""COMPUTED_VALUE"""),0.0)</f>
        <v>0</v>
      </c>
      <c r="O49" s="52">
        <f>IFERROR(__xludf.DUMMYFUNCTION("""COMPUTED_VALUE"""),17600.0)</f>
        <v>17600</v>
      </c>
      <c r="P49" s="53">
        <f>IFERROR(__xludf.DUMMYFUNCTION("""COMPUTED_VALUE"""),0.0012806550434123869)</f>
        <v>0.001280655043</v>
      </c>
      <c r="Q49" s="16"/>
    </row>
    <row r="50" ht="15.75" customHeight="1">
      <c r="A50" s="48" t="str">
        <f>IFERROR(__xludf.DUMMYFUNCTION("""COMPUTED_VALUE"""),"水道光熱費")</f>
        <v>水道光熱費</v>
      </c>
      <c r="B50" s="91">
        <f>IFERROR(__xludf.DUMMYFUNCTION("""COMPUTED_VALUE"""),197951.0)</f>
        <v>197951</v>
      </c>
      <c r="C50" s="91">
        <f>IFERROR(__xludf.DUMMYFUNCTION("""COMPUTED_VALUE"""),185356.0)</f>
        <v>185356</v>
      </c>
      <c r="D50" s="91">
        <f>IFERROR(__xludf.DUMMYFUNCTION("""COMPUTED_VALUE"""),280073.0)</f>
        <v>280073</v>
      </c>
      <c r="E50" s="91">
        <f>IFERROR(__xludf.DUMMYFUNCTION("""COMPUTED_VALUE"""),355070.0)</f>
        <v>355070</v>
      </c>
      <c r="F50" s="91">
        <f>IFERROR(__xludf.DUMMYFUNCTION("""COMPUTED_VALUE"""),382960.0)</f>
        <v>382960</v>
      </c>
      <c r="G50" s="91">
        <f>IFERROR(__xludf.DUMMYFUNCTION("""COMPUTED_VALUE"""),342835.0)</f>
        <v>342835</v>
      </c>
      <c r="H50" s="24"/>
      <c r="I50" s="91">
        <f>IFERROR(__xludf.DUMMYFUNCTION("""COMPUTED_VALUE"""),329338.0)</f>
        <v>329338</v>
      </c>
      <c r="J50" s="91">
        <f>IFERROR(__xludf.DUMMYFUNCTION("""COMPUTED_VALUE"""),228571.0)</f>
        <v>228571</v>
      </c>
      <c r="K50" s="91">
        <f>IFERROR(__xludf.DUMMYFUNCTION("""COMPUTED_VALUE"""),0.0)</f>
        <v>0</v>
      </c>
      <c r="L50" s="91">
        <f>IFERROR(__xludf.DUMMYFUNCTION("""COMPUTED_VALUE"""),0.0)</f>
        <v>0</v>
      </c>
      <c r="M50" s="91">
        <f>IFERROR(__xludf.DUMMYFUNCTION("""COMPUTED_VALUE"""),0.0)</f>
        <v>0</v>
      </c>
      <c r="N50" s="91">
        <f>IFERROR(__xludf.DUMMYFUNCTION("""COMPUTED_VALUE"""),0.0)</f>
        <v>0</v>
      </c>
      <c r="O50" s="46">
        <f>IFERROR(__xludf.DUMMYFUNCTION("""COMPUTED_VALUE"""),2302154.0)</f>
        <v>2302154</v>
      </c>
      <c r="P50" s="47">
        <f>IFERROR(__xludf.DUMMYFUNCTION("""COMPUTED_VALUE"""),0.010001117607987858)</f>
        <v>0.01000111761</v>
      </c>
      <c r="Q50" s="16"/>
    </row>
    <row r="51" ht="15.75" customHeight="1">
      <c r="A51" s="48" t="str">
        <f>IFERROR(__xludf.DUMMYFUNCTION("""COMPUTED_VALUE"""),"旅費交通費")</f>
        <v>旅費交通費</v>
      </c>
      <c r="B51" s="91">
        <f>IFERROR(__xludf.DUMMYFUNCTION("""COMPUTED_VALUE"""),35090.0)</f>
        <v>35090</v>
      </c>
      <c r="C51" s="91">
        <f>IFERROR(__xludf.DUMMYFUNCTION("""COMPUTED_VALUE"""),0.0)</f>
        <v>0</v>
      </c>
      <c r="D51" s="91">
        <f>IFERROR(__xludf.DUMMYFUNCTION("""COMPUTED_VALUE"""),9900.0)</f>
        <v>9900</v>
      </c>
      <c r="E51" s="91">
        <f>IFERROR(__xludf.DUMMYFUNCTION("""COMPUTED_VALUE"""),30520.0)</f>
        <v>30520</v>
      </c>
      <c r="F51" s="91">
        <f>IFERROR(__xludf.DUMMYFUNCTION("""COMPUTED_VALUE"""),5000.0)</f>
        <v>5000</v>
      </c>
      <c r="G51" s="91">
        <f>IFERROR(__xludf.DUMMYFUNCTION("""COMPUTED_VALUE"""),1476.0)</f>
        <v>1476</v>
      </c>
      <c r="H51" s="24"/>
      <c r="I51" s="91">
        <f>IFERROR(__xludf.DUMMYFUNCTION("""COMPUTED_VALUE"""),16880.0)</f>
        <v>16880</v>
      </c>
      <c r="J51" s="91">
        <f>IFERROR(__xludf.DUMMYFUNCTION("""COMPUTED_VALUE"""),35080.0)</f>
        <v>35080</v>
      </c>
      <c r="K51" s="91">
        <f>IFERROR(__xludf.DUMMYFUNCTION("""COMPUTED_VALUE"""),0.0)</f>
        <v>0</v>
      </c>
      <c r="L51" s="91">
        <f>IFERROR(__xludf.DUMMYFUNCTION("""COMPUTED_VALUE"""),0.0)</f>
        <v>0</v>
      </c>
      <c r="M51" s="91">
        <f>IFERROR(__xludf.DUMMYFUNCTION("""COMPUTED_VALUE"""),0.0)</f>
        <v>0</v>
      </c>
      <c r="N51" s="91">
        <f>IFERROR(__xludf.DUMMYFUNCTION("""COMPUTED_VALUE"""),0.0)</f>
        <v>0</v>
      </c>
      <c r="O51" s="46">
        <f>IFERROR(__xludf.DUMMYFUNCTION("""COMPUTED_VALUE"""),133946.0)</f>
        <v>133946</v>
      </c>
      <c r="P51" s="47">
        <f>IFERROR(__xludf.DUMMYFUNCTION("""COMPUTED_VALUE"""),5.818940431958687E-4)</f>
        <v>0.0005818940432</v>
      </c>
      <c r="Q51" s="16"/>
    </row>
    <row r="52" ht="15.75" customHeight="1">
      <c r="A52" s="48" t="str">
        <f>IFERROR(__xludf.DUMMYFUNCTION("""COMPUTED_VALUE"""),"広告宣伝費")</f>
        <v>広告宣伝費</v>
      </c>
      <c r="B52" s="91">
        <f>IFERROR(__xludf.DUMMYFUNCTION("""COMPUTED_VALUE"""),6080000.0)</f>
        <v>6080000</v>
      </c>
      <c r="C52" s="91">
        <f>IFERROR(__xludf.DUMMYFUNCTION("""COMPUTED_VALUE"""),7515680.0)</f>
        <v>7515680</v>
      </c>
      <c r="D52" s="91">
        <f>IFERROR(__xludf.DUMMYFUNCTION("""COMPUTED_VALUE"""),3866212.0)</f>
        <v>3866212</v>
      </c>
      <c r="E52" s="91">
        <f>IFERROR(__xludf.DUMMYFUNCTION("""COMPUTED_VALUE"""),1204303.0)</f>
        <v>1204303</v>
      </c>
      <c r="F52" s="91">
        <f>IFERROR(__xludf.DUMMYFUNCTION("""COMPUTED_VALUE"""),3201043.0)</f>
        <v>3201043</v>
      </c>
      <c r="G52" s="91">
        <f>IFERROR(__xludf.DUMMYFUNCTION("""COMPUTED_VALUE"""),2577867.0)</f>
        <v>2577867</v>
      </c>
      <c r="H52" s="24"/>
      <c r="I52" s="91">
        <f>IFERROR(__xludf.DUMMYFUNCTION("""COMPUTED_VALUE"""),3741419.0)</f>
        <v>3741419</v>
      </c>
      <c r="J52" s="91">
        <f>IFERROR(__xludf.DUMMYFUNCTION("""COMPUTED_VALUE"""),2589216.0)</f>
        <v>2589216</v>
      </c>
      <c r="K52" s="91">
        <f>IFERROR(__xludf.DUMMYFUNCTION("""COMPUTED_VALUE"""),0.0)</f>
        <v>0</v>
      </c>
      <c r="L52" s="91">
        <f>IFERROR(__xludf.DUMMYFUNCTION("""COMPUTED_VALUE"""),0.0)</f>
        <v>0</v>
      </c>
      <c r="M52" s="91">
        <f>IFERROR(__xludf.DUMMYFUNCTION("""COMPUTED_VALUE"""),0.0)</f>
        <v>0</v>
      </c>
      <c r="N52" s="91">
        <f>IFERROR(__xludf.DUMMYFUNCTION("""COMPUTED_VALUE"""),0.0)</f>
        <v>0</v>
      </c>
      <c r="O52" s="46">
        <f>IFERROR(__xludf.DUMMYFUNCTION("""COMPUTED_VALUE"""),3.077574E7)</f>
        <v>30775740</v>
      </c>
      <c r="P52" s="47">
        <f>IFERROR(__xludf.DUMMYFUNCTION("""COMPUTED_VALUE"""),0.1336973092212147)</f>
        <v>0.1336973092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92">
        <f>IFERROR(__xludf.DUMMYFUNCTION("""COMPUTED_VALUE"""),3000000.0)</f>
        <v>3000000</v>
      </c>
      <c r="C53" s="92">
        <f>IFERROR(__xludf.DUMMYFUNCTION("""COMPUTED_VALUE"""),2600000.0)</f>
        <v>2600000</v>
      </c>
      <c r="D53" s="92">
        <f>IFERROR(__xludf.DUMMYFUNCTION("""COMPUTED_VALUE"""),912492.0)</f>
        <v>912492</v>
      </c>
      <c r="E53" s="92">
        <f>IFERROR(__xludf.DUMMYFUNCTION("""COMPUTED_VALUE"""),1204303.0)</f>
        <v>1204303</v>
      </c>
      <c r="F53" s="92">
        <f>IFERROR(__xludf.DUMMYFUNCTION("""COMPUTED_VALUE"""),1325323.0)</f>
        <v>1325323</v>
      </c>
      <c r="G53" s="92">
        <f>IFERROR(__xludf.DUMMYFUNCTION("""COMPUTED_VALUE"""),960867.0)</f>
        <v>960867</v>
      </c>
      <c r="H53" s="24"/>
      <c r="I53" s="92">
        <f>IFERROR(__xludf.DUMMYFUNCTION("""COMPUTED_VALUE"""),550539.0)</f>
        <v>550539</v>
      </c>
      <c r="J53" s="92">
        <f>IFERROR(__xludf.DUMMYFUNCTION("""COMPUTED_VALUE"""),584136.0)</f>
        <v>584136</v>
      </c>
      <c r="K53" s="92">
        <f>IFERROR(__xludf.DUMMYFUNCTION("""COMPUTED_VALUE"""),0.0)</f>
        <v>0</v>
      </c>
      <c r="L53" s="92">
        <f>IFERROR(__xludf.DUMMYFUNCTION("""COMPUTED_VALUE"""),0.0)</f>
        <v>0</v>
      </c>
      <c r="M53" s="92">
        <f>IFERROR(__xludf.DUMMYFUNCTION("""COMPUTED_VALUE"""),0.0)</f>
        <v>0</v>
      </c>
      <c r="N53" s="92">
        <f>IFERROR(__xludf.DUMMYFUNCTION("""COMPUTED_VALUE"""),0.0)</f>
        <v>0</v>
      </c>
      <c r="O53" s="52">
        <f>IFERROR(__xludf.DUMMYFUNCTION("""COMPUTED_VALUE"""),1.113766E7)</f>
        <v>11137660</v>
      </c>
      <c r="P53" s="53">
        <f>IFERROR(__xludf.DUMMYFUNCTION("""COMPUTED_VALUE"""),0.3618973906070171)</f>
        <v>0.3618973906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92">
        <f>IFERROR(__xludf.DUMMYFUNCTION("""COMPUTED_VALUE"""),0.0)</f>
        <v>0</v>
      </c>
      <c r="C54" s="92">
        <f>IFERROR(__xludf.DUMMYFUNCTION("""COMPUTED_VALUE"""),0.0)</f>
        <v>0</v>
      </c>
      <c r="D54" s="92">
        <f>IFERROR(__xludf.DUMMYFUNCTION("""COMPUTED_VALUE"""),0.0)</f>
        <v>0</v>
      </c>
      <c r="E54" s="92">
        <f>IFERROR(__xludf.DUMMYFUNCTION("""COMPUTED_VALUE"""),0.0)</f>
        <v>0</v>
      </c>
      <c r="F54" s="92">
        <f>IFERROR(__xludf.DUMMYFUNCTION("""COMPUTED_VALUE"""),0.0)</f>
        <v>0</v>
      </c>
      <c r="G54" s="92">
        <f>IFERROR(__xludf.DUMMYFUNCTION("""COMPUTED_VALUE"""),0.0)</f>
        <v>0</v>
      </c>
      <c r="H54" s="24"/>
      <c r="I54" s="92">
        <f>IFERROR(__xludf.DUMMYFUNCTION("""COMPUTED_VALUE"""),0.0)</f>
        <v>0</v>
      </c>
      <c r="J54" s="92">
        <f>IFERROR(__xludf.DUMMYFUNCTION("""COMPUTED_VALUE"""),0.0)</f>
        <v>0</v>
      </c>
      <c r="K54" s="92">
        <f>IFERROR(__xludf.DUMMYFUNCTION("""COMPUTED_VALUE"""),0.0)</f>
        <v>0</v>
      </c>
      <c r="L54" s="92">
        <f>IFERROR(__xludf.DUMMYFUNCTION("""COMPUTED_VALUE"""),0.0)</f>
        <v>0</v>
      </c>
      <c r="M54" s="92">
        <f>IFERROR(__xludf.DUMMYFUNCTION("""COMPUTED_VALUE"""),0.0)</f>
        <v>0</v>
      </c>
      <c r="N54" s="92">
        <f>IFERROR(__xludf.DUMMYFUNCTION("""COMPUTED_VALUE"""),0.0)</f>
        <v>0</v>
      </c>
      <c r="O54" s="52">
        <f>IFERROR(__xludf.DUMMYFUNCTION("""COMPUTED_VALUE"""),0.0)</f>
        <v>0</v>
      </c>
      <c r="P54" s="53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92">
        <f>IFERROR(__xludf.DUMMYFUNCTION("""COMPUTED_VALUE"""),0.0)</f>
        <v>0</v>
      </c>
      <c r="C55" s="92">
        <f>IFERROR(__xludf.DUMMYFUNCTION("""COMPUTED_VALUE"""),0.0)</f>
        <v>0</v>
      </c>
      <c r="D55" s="92">
        <f>IFERROR(__xludf.DUMMYFUNCTION("""COMPUTED_VALUE"""),0.0)</f>
        <v>0</v>
      </c>
      <c r="E55" s="92">
        <f>IFERROR(__xludf.DUMMYFUNCTION("""COMPUTED_VALUE"""),0.0)</f>
        <v>0</v>
      </c>
      <c r="F55" s="92">
        <f>IFERROR(__xludf.DUMMYFUNCTION("""COMPUTED_VALUE"""),0.0)</f>
        <v>0</v>
      </c>
      <c r="G55" s="92">
        <f>IFERROR(__xludf.DUMMYFUNCTION("""COMPUTED_VALUE"""),0.0)</f>
        <v>0</v>
      </c>
      <c r="H55" s="24"/>
      <c r="I55" s="92">
        <f>IFERROR(__xludf.DUMMYFUNCTION("""COMPUTED_VALUE"""),0.0)</f>
        <v>0</v>
      </c>
      <c r="J55" s="92">
        <f>IFERROR(__xludf.DUMMYFUNCTION("""COMPUTED_VALUE"""),0.0)</f>
        <v>0</v>
      </c>
      <c r="K55" s="92">
        <f>IFERROR(__xludf.DUMMYFUNCTION("""COMPUTED_VALUE"""),0.0)</f>
        <v>0</v>
      </c>
      <c r="L55" s="92">
        <f>IFERROR(__xludf.DUMMYFUNCTION("""COMPUTED_VALUE"""),0.0)</f>
        <v>0</v>
      </c>
      <c r="M55" s="92">
        <f>IFERROR(__xludf.DUMMYFUNCTION("""COMPUTED_VALUE"""),0.0)</f>
        <v>0</v>
      </c>
      <c r="N55" s="92">
        <f>IFERROR(__xludf.DUMMYFUNCTION("""COMPUTED_VALUE"""),0.0)</f>
        <v>0</v>
      </c>
      <c r="O55" s="52">
        <f>IFERROR(__xludf.DUMMYFUNCTION("""COMPUTED_VALUE"""),0.0)</f>
        <v>0</v>
      </c>
      <c r="P55" s="53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92">
        <f>IFERROR(__xludf.DUMMYFUNCTION("""COMPUTED_VALUE"""),0.0)</f>
        <v>0</v>
      </c>
      <c r="C56" s="92">
        <f>IFERROR(__xludf.DUMMYFUNCTION("""COMPUTED_VALUE"""),0.0)</f>
        <v>0</v>
      </c>
      <c r="D56" s="92">
        <f>IFERROR(__xludf.DUMMYFUNCTION("""COMPUTED_VALUE"""),0.0)</f>
        <v>0</v>
      </c>
      <c r="E56" s="92">
        <f>IFERROR(__xludf.DUMMYFUNCTION("""COMPUTED_VALUE"""),0.0)</f>
        <v>0</v>
      </c>
      <c r="F56" s="92">
        <f>IFERROR(__xludf.DUMMYFUNCTION("""COMPUTED_VALUE"""),0.0)</f>
        <v>0</v>
      </c>
      <c r="G56" s="92">
        <f>IFERROR(__xludf.DUMMYFUNCTION("""COMPUTED_VALUE"""),0.0)</f>
        <v>0</v>
      </c>
      <c r="H56" s="24"/>
      <c r="I56" s="92">
        <f>IFERROR(__xludf.DUMMYFUNCTION("""COMPUTED_VALUE"""),0.0)</f>
        <v>0</v>
      </c>
      <c r="J56" s="92">
        <f>IFERROR(__xludf.DUMMYFUNCTION("""COMPUTED_VALUE"""),0.0)</f>
        <v>0</v>
      </c>
      <c r="K56" s="92">
        <f>IFERROR(__xludf.DUMMYFUNCTION("""COMPUTED_VALUE"""),0.0)</f>
        <v>0</v>
      </c>
      <c r="L56" s="92">
        <f>IFERROR(__xludf.DUMMYFUNCTION("""COMPUTED_VALUE"""),0.0)</f>
        <v>0</v>
      </c>
      <c r="M56" s="92">
        <f>IFERROR(__xludf.DUMMYFUNCTION("""COMPUTED_VALUE"""),0.0)</f>
        <v>0</v>
      </c>
      <c r="N56" s="92">
        <f>IFERROR(__xludf.DUMMYFUNCTION("""COMPUTED_VALUE"""),0.0)</f>
        <v>0</v>
      </c>
      <c r="O56" s="52">
        <f>IFERROR(__xludf.DUMMYFUNCTION("""COMPUTED_VALUE"""),0.0)</f>
        <v>0</v>
      </c>
      <c r="P56" s="53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92">
        <f>IFERROR(__xludf.DUMMYFUNCTION("""COMPUTED_VALUE"""),0.0)</f>
        <v>0</v>
      </c>
      <c r="C57" s="92">
        <f>IFERROR(__xludf.DUMMYFUNCTION("""COMPUTED_VALUE"""),0.0)</f>
        <v>0</v>
      </c>
      <c r="D57" s="92">
        <f>IFERROR(__xludf.DUMMYFUNCTION("""COMPUTED_VALUE"""),0.0)</f>
        <v>0</v>
      </c>
      <c r="E57" s="92">
        <f>IFERROR(__xludf.DUMMYFUNCTION("""COMPUTED_VALUE"""),0.0)</f>
        <v>0</v>
      </c>
      <c r="F57" s="92">
        <f>IFERROR(__xludf.DUMMYFUNCTION("""COMPUTED_VALUE"""),0.0)</f>
        <v>0</v>
      </c>
      <c r="G57" s="92">
        <f>IFERROR(__xludf.DUMMYFUNCTION("""COMPUTED_VALUE"""),0.0)</f>
        <v>0</v>
      </c>
      <c r="H57" s="24"/>
      <c r="I57" s="92">
        <f>IFERROR(__xludf.DUMMYFUNCTION("""COMPUTED_VALUE"""),0.0)</f>
        <v>0</v>
      </c>
      <c r="J57" s="92">
        <f>IFERROR(__xludf.DUMMYFUNCTION("""COMPUTED_VALUE"""),0.0)</f>
        <v>0</v>
      </c>
      <c r="K57" s="92">
        <f>IFERROR(__xludf.DUMMYFUNCTION("""COMPUTED_VALUE"""),0.0)</f>
        <v>0</v>
      </c>
      <c r="L57" s="92">
        <f>IFERROR(__xludf.DUMMYFUNCTION("""COMPUTED_VALUE"""),0.0)</f>
        <v>0</v>
      </c>
      <c r="M57" s="92">
        <f>IFERROR(__xludf.DUMMYFUNCTION("""COMPUTED_VALUE"""),0.0)</f>
        <v>0</v>
      </c>
      <c r="N57" s="92">
        <f>IFERROR(__xludf.DUMMYFUNCTION("""COMPUTED_VALUE"""),0.0)</f>
        <v>0</v>
      </c>
      <c r="O57" s="52">
        <f>IFERROR(__xludf.DUMMYFUNCTION("""COMPUTED_VALUE"""),0.0)</f>
        <v>0</v>
      </c>
      <c r="P57" s="53">
        <f>IFERROR(__xludf.DUMMYFUNCTION("""COMPUTED_VALUE"""),0.0)</f>
        <v>0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92">
        <f>IFERROR(__xludf.DUMMYFUNCTION("""COMPUTED_VALUE"""),0.0)</f>
        <v>0</v>
      </c>
      <c r="C58" s="92">
        <f>IFERROR(__xludf.DUMMYFUNCTION("""COMPUTED_VALUE"""),0.0)</f>
        <v>0</v>
      </c>
      <c r="D58" s="92">
        <f>IFERROR(__xludf.DUMMYFUNCTION("""COMPUTED_VALUE"""),0.0)</f>
        <v>0</v>
      </c>
      <c r="E58" s="92">
        <f>IFERROR(__xludf.DUMMYFUNCTION("""COMPUTED_VALUE"""),0.0)</f>
        <v>0</v>
      </c>
      <c r="F58" s="92">
        <f>IFERROR(__xludf.DUMMYFUNCTION("""COMPUTED_VALUE"""),0.0)</f>
        <v>0</v>
      </c>
      <c r="G58" s="92">
        <f>IFERROR(__xludf.DUMMYFUNCTION("""COMPUTED_VALUE"""),0.0)</f>
        <v>0</v>
      </c>
      <c r="H58" s="24"/>
      <c r="I58" s="92">
        <f>IFERROR(__xludf.DUMMYFUNCTION("""COMPUTED_VALUE"""),0.0)</f>
        <v>0</v>
      </c>
      <c r="J58" s="92">
        <f>IFERROR(__xludf.DUMMYFUNCTION("""COMPUTED_VALUE"""),0.0)</f>
        <v>0</v>
      </c>
      <c r="K58" s="92">
        <f>IFERROR(__xludf.DUMMYFUNCTION("""COMPUTED_VALUE"""),0.0)</f>
        <v>0</v>
      </c>
      <c r="L58" s="92">
        <f>IFERROR(__xludf.DUMMYFUNCTION("""COMPUTED_VALUE"""),0.0)</f>
        <v>0</v>
      </c>
      <c r="M58" s="92">
        <f>IFERROR(__xludf.DUMMYFUNCTION("""COMPUTED_VALUE"""),0.0)</f>
        <v>0</v>
      </c>
      <c r="N58" s="92">
        <f>IFERROR(__xludf.DUMMYFUNCTION("""COMPUTED_VALUE"""),0.0)</f>
        <v>0</v>
      </c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92">
        <f>IFERROR(__xludf.DUMMYFUNCTION("""COMPUTED_VALUE"""),3080000.0)</f>
        <v>3080000</v>
      </c>
      <c r="C59" s="92">
        <f>IFERROR(__xludf.DUMMYFUNCTION("""COMPUTED_VALUE"""),4915680.0)</f>
        <v>4915680</v>
      </c>
      <c r="D59" s="92">
        <f>IFERROR(__xludf.DUMMYFUNCTION("""COMPUTED_VALUE"""),2953720.0)</f>
        <v>2953720</v>
      </c>
      <c r="E59" s="92">
        <f>IFERROR(__xludf.DUMMYFUNCTION("""COMPUTED_VALUE"""),0.0)</f>
        <v>0</v>
      </c>
      <c r="F59" s="92">
        <f>IFERROR(__xludf.DUMMYFUNCTION("""COMPUTED_VALUE"""),1875720.0)</f>
        <v>1875720</v>
      </c>
      <c r="G59" s="92">
        <f>IFERROR(__xludf.DUMMYFUNCTION("""COMPUTED_VALUE"""),1617000.0)</f>
        <v>1617000</v>
      </c>
      <c r="H59" s="24"/>
      <c r="I59" s="92">
        <f>IFERROR(__xludf.DUMMYFUNCTION("""COMPUTED_VALUE"""),3190880.0)</f>
        <v>3190880</v>
      </c>
      <c r="J59" s="92">
        <f>IFERROR(__xludf.DUMMYFUNCTION("""COMPUTED_VALUE"""),2005080.0)</f>
        <v>2005080</v>
      </c>
      <c r="K59" s="92">
        <f>IFERROR(__xludf.DUMMYFUNCTION("""COMPUTED_VALUE"""),0.0)</f>
        <v>0</v>
      </c>
      <c r="L59" s="92">
        <f>IFERROR(__xludf.DUMMYFUNCTION("""COMPUTED_VALUE"""),0.0)</f>
        <v>0</v>
      </c>
      <c r="M59" s="92">
        <f>IFERROR(__xludf.DUMMYFUNCTION("""COMPUTED_VALUE"""),0.0)</f>
        <v>0</v>
      </c>
      <c r="N59" s="92">
        <f>IFERROR(__xludf.DUMMYFUNCTION("""COMPUTED_VALUE"""),0.0)</f>
        <v>0</v>
      </c>
      <c r="O59" s="52">
        <f>IFERROR(__xludf.DUMMYFUNCTION("""COMPUTED_VALUE"""),1.963808E7)</f>
        <v>19638080</v>
      </c>
      <c r="P59" s="53">
        <f>IFERROR(__xludf.DUMMYFUNCTION("""COMPUTED_VALUE"""),0.6381026093929829)</f>
        <v>0.6381026094</v>
      </c>
      <c r="Q59" s="16"/>
    </row>
    <row r="60" ht="15.75" customHeight="1">
      <c r="A60" s="51" t="str">
        <f>IFERROR(__xludf.DUMMYFUNCTION("""COMPUTED_VALUE"""),"その他")</f>
        <v>その他</v>
      </c>
      <c r="B60" s="92">
        <f>IFERROR(__xludf.DUMMYFUNCTION("""COMPUTED_VALUE"""),0.0)</f>
        <v>0</v>
      </c>
      <c r="C60" s="92">
        <f>IFERROR(__xludf.DUMMYFUNCTION("""COMPUTED_VALUE"""),0.0)</f>
        <v>0</v>
      </c>
      <c r="D60" s="92">
        <f>IFERROR(__xludf.DUMMYFUNCTION("""COMPUTED_VALUE"""),0.0)</f>
        <v>0</v>
      </c>
      <c r="E60" s="92">
        <f>IFERROR(__xludf.DUMMYFUNCTION("""COMPUTED_VALUE"""),0.0)</f>
        <v>0</v>
      </c>
      <c r="F60" s="92">
        <f>IFERROR(__xludf.DUMMYFUNCTION("""COMPUTED_VALUE"""),0.0)</f>
        <v>0</v>
      </c>
      <c r="G60" s="92">
        <f>IFERROR(__xludf.DUMMYFUNCTION("""COMPUTED_VALUE"""),0.0)</f>
        <v>0</v>
      </c>
      <c r="H60" s="24"/>
      <c r="I60" s="92">
        <f>IFERROR(__xludf.DUMMYFUNCTION("""COMPUTED_VALUE"""),0.0)</f>
        <v>0</v>
      </c>
      <c r="J60" s="92">
        <f>IFERROR(__xludf.DUMMYFUNCTION("""COMPUTED_VALUE"""),0.0)</f>
        <v>0</v>
      </c>
      <c r="K60" s="92">
        <f>IFERROR(__xludf.DUMMYFUNCTION("""COMPUTED_VALUE"""),0.0)</f>
        <v>0</v>
      </c>
      <c r="L60" s="92">
        <f>IFERROR(__xludf.DUMMYFUNCTION("""COMPUTED_VALUE"""),0.0)</f>
        <v>0</v>
      </c>
      <c r="M60" s="92">
        <f>IFERROR(__xludf.DUMMYFUNCTION("""COMPUTED_VALUE"""),0.0)</f>
        <v>0</v>
      </c>
      <c r="N60" s="92">
        <f>IFERROR(__xludf.DUMMYFUNCTION("""COMPUTED_VALUE"""),0.0)</f>
        <v>0</v>
      </c>
      <c r="O60" s="52">
        <f>IFERROR(__xludf.DUMMYFUNCTION("""COMPUTED_VALUE"""),0.0)</f>
        <v>0</v>
      </c>
      <c r="P60" s="53">
        <f>IFERROR(__xludf.DUMMYFUNCTION("""COMPUTED_VALUE"""),0.0)</f>
        <v>0</v>
      </c>
      <c r="Q60" s="16"/>
    </row>
    <row r="61" ht="15.75" customHeight="1">
      <c r="A61" s="48" t="str">
        <f>IFERROR(__xludf.DUMMYFUNCTION("""COMPUTED_VALUE"""),"研修費")</f>
        <v>研修費</v>
      </c>
      <c r="B61" s="91">
        <f>IFERROR(__xludf.DUMMYFUNCTION("""COMPUTED_VALUE"""),403135.0)</f>
        <v>403135</v>
      </c>
      <c r="C61" s="91">
        <f>IFERROR(__xludf.DUMMYFUNCTION("""COMPUTED_VALUE"""),33396.0)</f>
        <v>33396</v>
      </c>
      <c r="D61" s="91">
        <f>IFERROR(__xludf.DUMMYFUNCTION("""COMPUTED_VALUE"""),64806.0)</f>
        <v>64806</v>
      </c>
      <c r="E61" s="91">
        <f>IFERROR(__xludf.DUMMYFUNCTION("""COMPUTED_VALUE"""),507511.0)</f>
        <v>507511</v>
      </c>
      <c r="F61" s="91">
        <f>IFERROR(__xludf.DUMMYFUNCTION("""COMPUTED_VALUE"""),180446.0)</f>
        <v>180446</v>
      </c>
      <c r="G61" s="91">
        <f>IFERROR(__xludf.DUMMYFUNCTION("""COMPUTED_VALUE"""),16115.0)</f>
        <v>16115</v>
      </c>
      <c r="H61" s="24"/>
      <c r="I61" s="91">
        <f>IFERROR(__xludf.DUMMYFUNCTION("""COMPUTED_VALUE"""),185454.0)</f>
        <v>185454</v>
      </c>
      <c r="J61" s="91">
        <f>IFERROR(__xludf.DUMMYFUNCTION("""COMPUTED_VALUE"""),519409.0)</f>
        <v>519409</v>
      </c>
      <c r="K61" s="91">
        <f>IFERROR(__xludf.DUMMYFUNCTION("""COMPUTED_VALUE"""),0.0)</f>
        <v>0</v>
      </c>
      <c r="L61" s="91">
        <f>IFERROR(__xludf.DUMMYFUNCTION("""COMPUTED_VALUE"""),0.0)</f>
        <v>0</v>
      </c>
      <c r="M61" s="91">
        <f>IFERROR(__xludf.DUMMYFUNCTION("""COMPUTED_VALUE"""),0.0)</f>
        <v>0</v>
      </c>
      <c r="N61" s="91">
        <f>IFERROR(__xludf.DUMMYFUNCTION("""COMPUTED_VALUE"""),0.0)</f>
        <v>0</v>
      </c>
      <c r="O61" s="46">
        <f>IFERROR(__xludf.DUMMYFUNCTION("""COMPUTED_VALUE"""),1910272.0)</f>
        <v>1910272</v>
      </c>
      <c r="P61" s="47">
        <f>IFERROR(__xludf.DUMMYFUNCTION("""COMPUTED_VALUE"""),0.008298686766934873)</f>
        <v>0.008298686767</v>
      </c>
      <c r="Q61" s="16"/>
    </row>
    <row r="62" ht="15.75" customHeight="1">
      <c r="A62" s="48" t="str">
        <f>IFERROR(__xludf.DUMMYFUNCTION("""COMPUTED_VALUE"""),"接待交際費")</f>
        <v>接待交際費</v>
      </c>
      <c r="B62" s="91">
        <f>IFERROR(__xludf.DUMMYFUNCTION("""COMPUTED_VALUE"""),54543.0)</f>
        <v>54543</v>
      </c>
      <c r="C62" s="91">
        <f>IFERROR(__xludf.DUMMYFUNCTION("""COMPUTED_VALUE"""),10000.0)</f>
        <v>10000</v>
      </c>
      <c r="D62" s="91">
        <f>IFERROR(__xludf.DUMMYFUNCTION("""COMPUTED_VALUE"""),135316.0)</f>
        <v>135316</v>
      </c>
      <c r="E62" s="91">
        <f>IFERROR(__xludf.DUMMYFUNCTION("""COMPUTED_VALUE"""),0.0)</f>
        <v>0</v>
      </c>
      <c r="F62" s="91">
        <f>IFERROR(__xludf.DUMMYFUNCTION("""COMPUTED_VALUE"""),36356.0)</f>
        <v>36356</v>
      </c>
      <c r="G62" s="91">
        <f>IFERROR(__xludf.DUMMYFUNCTION("""COMPUTED_VALUE"""),58794.0)</f>
        <v>58794</v>
      </c>
      <c r="H62" s="24"/>
      <c r="I62" s="91">
        <f>IFERROR(__xludf.DUMMYFUNCTION("""COMPUTED_VALUE"""),82112.0)</f>
        <v>82112</v>
      </c>
      <c r="J62" s="91">
        <f>IFERROR(__xludf.DUMMYFUNCTION("""COMPUTED_VALUE"""),62534.0)</f>
        <v>62534</v>
      </c>
      <c r="K62" s="91">
        <f>IFERROR(__xludf.DUMMYFUNCTION("""COMPUTED_VALUE"""),0.0)</f>
        <v>0</v>
      </c>
      <c r="L62" s="91">
        <f>IFERROR(__xludf.DUMMYFUNCTION("""COMPUTED_VALUE"""),0.0)</f>
        <v>0</v>
      </c>
      <c r="M62" s="91">
        <f>IFERROR(__xludf.DUMMYFUNCTION("""COMPUTED_VALUE"""),0.0)</f>
        <v>0</v>
      </c>
      <c r="N62" s="91">
        <f>IFERROR(__xludf.DUMMYFUNCTION("""COMPUTED_VALUE"""),0.0)</f>
        <v>0</v>
      </c>
      <c r="O62" s="46">
        <f>IFERROR(__xludf.DUMMYFUNCTION("""COMPUTED_VALUE"""),439655.0)</f>
        <v>439655</v>
      </c>
      <c r="P62" s="47">
        <f>IFERROR(__xludf.DUMMYFUNCTION("""COMPUTED_VALUE"""),0.0019099683869714633)</f>
        <v>0.001909968387</v>
      </c>
      <c r="Q62" s="16"/>
    </row>
    <row r="63" ht="15.75" customHeight="1">
      <c r="A63" s="48" t="str">
        <f>IFERROR(__xludf.DUMMYFUNCTION("""COMPUTED_VALUE"""),"会議費")</f>
        <v>会議費</v>
      </c>
      <c r="B63" s="91">
        <f>IFERROR(__xludf.DUMMYFUNCTION("""COMPUTED_VALUE"""),3500.0)</f>
        <v>3500</v>
      </c>
      <c r="C63" s="91">
        <f>IFERROR(__xludf.DUMMYFUNCTION("""COMPUTED_VALUE"""),8500.0)</f>
        <v>8500</v>
      </c>
      <c r="D63" s="91">
        <f>IFERROR(__xludf.DUMMYFUNCTION("""COMPUTED_VALUE"""),12567.0)</f>
        <v>12567</v>
      </c>
      <c r="E63" s="91">
        <f>IFERROR(__xludf.DUMMYFUNCTION("""COMPUTED_VALUE"""),19400.0)</f>
        <v>19400</v>
      </c>
      <c r="F63" s="91">
        <f>IFERROR(__xludf.DUMMYFUNCTION("""COMPUTED_VALUE"""),16487.0)</f>
        <v>16487</v>
      </c>
      <c r="G63" s="91">
        <f>IFERROR(__xludf.DUMMYFUNCTION("""COMPUTED_VALUE"""),18815.0)</f>
        <v>18815</v>
      </c>
      <c r="H63" s="24"/>
      <c r="I63" s="91">
        <f>IFERROR(__xludf.DUMMYFUNCTION("""COMPUTED_VALUE"""),11478.0)</f>
        <v>11478</v>
      </c>
      <c r="J63" s="91">
        <f>IFERROR(__xludf.DUMMYFUNCTION("""COMPUTED_VALUE"""),40200.0)</f>
        <v>40200</v>
      </c>
      <c r="K63" s="91">
        <f>IFERROR(__xludf.DUMMYFUNCTION("""COMPUTED_VALUE"""),0.0)</f>
        <v>0</v>
      </c>
      <c r="L63" s="91">
        <f>IFERROR(__xludf.DUMMYFUNCTION("""COMPUTED_VALUE"""),0.0)</f>
        <v>0</v>
      </c>
      <c r="M63" s="91">
        <f>IFERROR(__xludf.DUMMYFUNCTION("""COMPUTED_VALUE"""),0.0)</f>
        <v>0</v>
      </c>
      <c r="N63" s="91">
        <f>IFERROR(__xludf.DUMMYFUNCTION("""COMPUTED_VALUE"""),0.0)</f>
        <v>0</v>
      </c>
      <c r="O63" s="46">
        <f>IFERROR(__xludf.DUMMYFUNCTION("""COMPUTED_VALUE"""),130947.0)</f>
        <v>130947</v>
      </c>
      <c r="P63" s="47">
        <f>IFERROR(__xludf.DUMMYFUNCTION("""COMPUTED_VALUE"""),5.688656568644783E-4)</f>
        <v>0.0005688656569</v>
      </c>
      <c r="Q63" s="16"/>
    </row>
    <row r="64" ht="15.75" customHeight="1">
      <c r="A64" s="48" t="str">
        <f>IFERROR(__xludf.DUMMYFUNCTION("""COMPUTED_VALUE"""),"荷造運搬費")</f>
        <v>荷造運搬費</v>
      </c>
      <c r="B64" s="91">
        <f>IFERROR(__xludf.DUMMYFUNCTION("""COMPUTED_VALUE"""),0.0)</f>
        <v>0</v>
      </c>
      <c r="C64" s="91">
        <f>IFERROR(__xludf.DUMMYFUNCTION("""COMPUTED_VALUE"""),0.0)</f>
        <v>0</v>
      </c>
      <c r="D64" s="91">
        <f>IFERROR(__xludf.DUMMYFUNCTION("""COMPUTED_VALUE"""),0.0)</f>
        <v>0</v>
      </c>
      <c r="E64" s="91">
        <f>IFERROR(__xludf.DUMMYFUNCTION("""COMPUTED_VALUE"""),0.0)</f>
        <v>0</v>
      </c>
      <c r="F64" s="91">
        <f>IFERROR(__xludf.DUMMYFUNCTION("""COMPUTED_VALUE"""),0.0)</f>
        <v>0</v>
      </c>
      <c r="G64" s="91">
        <f>IFERROR(__xludf.DUMMYFUNCTION("""COMPUTED_VALUE"""),0.0)</f>
        <v>0</v>
      </c>
      <c r="H64" s="24"/>
      <c r="I64" s="91">
        <f>IFERROR(__xludf.DUMMYFUNCTION("""COMPUTED_VALUE"""),0.0)</f>
        <v>0</v>
      </c>
      <c r="J64" s="91">
        <f>IFERROR(__xludf.DUMMYFUNCTION("""COMPUTED_VALUE"""),0.0)</f>
        <v>0</v>
      </c>
      <c r="K64" s="91">
        <f>IFERROR(__xludf.DUMMYFUNCTION("""COMPUTED_VALUE"""),0.0)</f>
        <v>0</v>
      </c>
      <c r="L64" s="91">
        <f>IFERROR(__xludf.DUMMYFUNCTION("""COMPUTED_VALUE"""),0.0)</f>
        <v>0</v>
      </c>
      <c r="M64" s="91">
        <f>IFERROR(__xludf.DUMMYFUNCTION("""COMPUTED_VALUE"""),0.0)</f>
        <v>0</v>
      </c>
      <c r="N64" s="91">
        <f>IFERROR(__xludf.DUMMYFUNCTION("""COMPUTED_VALUE"""),0.0)</f>
        <v>0</v>
      </c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91">
        <f>IFERROR(__xludf.DUMMYFUNCTION("""COMPUTED_VALUE"""),600246.0)</f>
        <v>600246</v>
      </c>
      <c r="C65" s="91">
        <f>IFERROR(__xludf.DUMMYFUNCTION("""COMPUTED_VALUE"""),845903.0)</f>
        <v>845903</v>
      </c>
      <c r="D65" s="91">
        <f>IFERROR(__xludf.DUMMYFUNCTION("""COMPUTED_VALUE"""),914247.0)</f>
        <v>914247</v>
      </c>
      <c r="E65" s="91">
        <f>IFERROR(__xludf.DUMMYFUNCTION("""COMPUTED_VALUE"""),357642.0)</f>
        <v>357642</v>
      </c>
      <c r="F65" s="91">
        <f>IFERROR(__xludf.DUMMYFUNCTION("""COMPUTED_VALUE"""),284852.0)</f>
        <v>284852</v>
      </c>
      <c r="G65" s="91">
        <f>IFERROR(__xludf.DUMMYFUNCTION("""COMPUTED_VALUE"""),712778.0)</f>
        <v>712778</v>
      </c>
      <c r="H65" s="24"/>
      <c r="I65" s="91">
        <f>IFERROR(__xludf.DUMMYFUNCTION("""COMPUTED_VALUE"""),1324332.0)</f>
        <v>1324332</v>
      </c>
      <c r="J65" s="91">
        <f>IFERROR(__xludf.DUMMYFUNCTION("""COMPUTED_VALUE"""),322322.0)</f>
        <v>322322</v>
      </c>
      <c r="K65" s="91">
        <f>IFERROR(__xludf.DUMMYFUNCTION("""COMPUTED_VALUE"""),0.0)</f>
        <v>0</v>
      </c>
      <c r="L65" s="91">
        <f>IFERROR(__xludf.DUMMYFUNCTION("""COMPUTED_VALUE"""),0.0)</f>
        <v>0</v>
      </c>
      <c r="M65" s="91">
        <f>IFERROR(__xludf.DUMMYFUNCTION("""COMPUTED_VALUE"""),0.0)</f>
        <v>0</v>
      </c>
      <c r="N65" s="91">
        <f>IFERROR(__xludf.DUMMYFUNCTION("""COMPUTED_VALUE"""),0.0)</f>
        <v>0</v>
      </c>
      <c r="O65" s="46">
        <f>IFERROR(__xludf.DUMMYFUNCTION("""COMPUTED_VALUE"""),5362322.0)</f>
        <v>5362322</v>
      </c>
      <c r="P65" s="47">
        <f>IFERROR(__xludf.DUMMYFUNCTION("""COMPUTED_VALUE"""),0.02329523262731367)</f>
        <v>0.02329523263</v>
      </c>
      <c r="Q65" s="16"/>
    </row>
    <row r="66" ht="15.75" customHeight="1">
      <c r="A66" s="48" t="str">
        <f>IFERROR(__xludf.DUMMYFUNCTION("""COMPUTED_VALUE"""),"新聞図書費")</f>
        <v>新聞図書費</v>
      </c>
      <c r="B66" s="91">
        <f>IFERROR(__xludf.DUMMYFUNCTION("""COMPUTED_VALUE"""),0.0)</f>
        <v>0</v>
      </c>
      <c r="C66" s="91">
        <f>IFERROR(__xludf.DUMMYFUNCTION("""COMPUTED_VALUE"""),0.0)</f>
        <v>0</v>
      </c>
      <c r="D66" s="91">
        <f>IFERROR(__xludf.DUMMYFUNCTION("""COMPUTED_VALUE"""),0.0)</f>
        <v>0</v>
      </c>
      <c r="E66" s="91">
        <f>IFERROR(__xludf.DUMMYFUNCTION("""COMPUTED_VALUE"""),0.0)</f>
        <v>0</v>
      </c>
      <c r="F66" s="91">
        <f>IFERROR(__xludf.DUMMYFUNCTION("""COMPUTED_VALUE"""),5412.0)</f>
        <v>5412</v>
      </c>
      <c r="G66" s="91">
        <f>IFERROR(__xludf.DUMMYFUNCTION("""COMPUTED_VALUE"""),0.0)</f>
        <v>0</v>
      </c>
      <c r="H66" s="24"/>
      <c r="I66" s="91">
        <f>IFERROR(__xludf.DUMMYFUNCTION("""COMPUTED_VALUE"""),0.0)</f>
        <v>0</v>
      </c>
      <c r="J66" s="91">
        <f>IFERROR(__xludf.DUMMYFUNCTION("""COMPUTED_VALUE"""),0.0)</f>
        <v>0</v>
      </c>
      <c r="K66" s="91">
        <f>IFERROR(__xludf.DUMMYFUNCTION("""COMPUTED_VALUE"""),0.0)</f>
        <v>0</v>
      </c>
      <c r="L66" s="91">
        <f>IFERROR(__xludf.DUMMYFUNCTION("""COMPUTED_VALUE"""),0.0)</f>
        <v>0</v>
      </c>
      <c r="M66" s="91">
        <f>IFERROR(__xludf.DUMMYFUNCTION("""COMPUTED_VALUE"""),0.0)</f>
        <v>0</v>
      </c>
      <c r="N66" s="91">
        <f>IFERROR(__xludf.DUMMYFUNCTION("""COMPUTED_VALUE"""),0.0)</f>
        <v>0</v>
      </c>
      <c r="O66" s="46">
        <f>IFERROR(__xludf.DUMMYFUNCTION("""COMPUTED_VALUE"""),5412.0)</f>
        <v>5412</v>
      </c>
      <c r="P66" s="47">
        <f>IFERROR(__xludf.DUMMYFUNCTION("""COMPUTED_VALUE"""),2.3511045957147216E-5)</f>
        <v>0.00002351104596</v>
      </c>
      <c r="Q66" s="16"/>
    </row>
    <row r="67" ht="15.75" customHeight="1">
      <c r="A67" s="48" t="str">
        <f>IFERROR(__xludf.DUMMYFUNCTION("""COMPUTED_VALUE"""),"保険料")</f>
        <v>保険料</v>
      </c>
      <c r="B67" s="91">
        <f>IFERROR(__xludf.DUMMYFUNCTION("""COMPUTED_VALUE"""),1019630.0)</f>
        <v>1019630</v>
      </c>
      <c r="C67" s="91">
        <f>IFERROR(__xludf.DUMMYFUNCTION("""COMPUTED_VALUE"""),0.0)</f>
        <v>0</v>
      </c>
      <c r="D67" s="91">
        <f>IFERROR(__xludf.DUMMYFUNCTION("""COMPUTED_VALUE"""),0.0)</f>
        <v>0</v>
      </c>
      <c r="E67" s="91">
        <f>IFERROR(__xludf.DUMMYFUNCTION("""COMPUTED_VALUE"""),0.0)</f>
        <v>0</v>
      </c>
      <c r="F67" s="91">
        <f>IFERROR(__xludf.DUMMYFUNCTION("""COMPUTED_VALUE"""),0.0)</f>
        <v>0</v>
      </c>
      <c r="G67" s="91">
        <f>IFERROR(__xludf.DUMMYFUNCTION("""COMPUTED_VALUE"""),0.0)</f>
        <v>0</v>
      </c>
      <c r="H67" s="24"/>
      <c r="I67" s="91">
        <f>IFERROR(__xludf.DUMMYFUNCTION("""COMPUTED_VALUE"""),0.0)</f>
        <v>0</v>
      </c>
      <c r="J67" s="91">
        <f>IFERROR(__xludf.DUMMYFUNCTION("""COMPUTED_VALUE"""),0.0)</f>
        <v>0</v>
      </c>
      <c r="K67" s="91">
        <f>IFERROR(__xludf.DUMMYFUNCTION("""COMPUTED_VALUE"""),0.0)</f>
        <v>0</v>
      </c>
      <c r="L67" s="91">
        <f>IFERROR(__xludf.DUMMYFUNCTION("""COMPUTED_VALUE"""),0.0)</f>
        <v>0</v>
      </c>
      <c r="M67" s="91">
        <f>IFERROR(__xludf.DUMMYFUNCTION("""COMPUTED_VALUE"""),0.0)</f>
        <v>0</v>
      </c>
      <c r="N67" s="91">
        <f>IFERROR(__xludf.DUMMYFUNCTION("""COMPUTED_VALUE"""),0.0)</f>
        <v>0</v>
      </c>
      <c r="O67" s="46">
        <f>IFERROR(__xludf.DUMMYFUNCTION("""COMPUTED_VALUE"""),1019630.0)</f>
        <v>1019630</v>
      </c>
      <c r="P67" s="47">
        <f>IFERROR(__xludf.DUMMYFUNCTION("""COMPUTED_VALUE"""),0.004429521025366965)</f>
        <v>0.004429521025</v>
      </c>
      <c r="Q67" s="16"/>
    </row>
    <row r="68" ht="15.75" customHeight="1">
      <c r="A68" s="48" t="str">
        <f>IFERROR(__xludf.DUMMYFUNCTION("""COMPUTED_VALUE"""),"修繕費")</f>
        <v>修繕費</v>
      </c>
      <c r="B68" s="91">
        <f>IFERROR(__xludf.DUMMYFUNCTION("""COMPUTED_VALUE"""),0.0)</f>
        <v>0</v>
      </c>
      <c r="C68" s="91">
        <f>IFERROR(__xludf.DUMMYFUNCTION("""COMPUTED_VALUE"""),0.0)</f>
        <v>0</v>
      </c>
      <c r="D68" s="91">
        <f>IFERROR(__xludf.DUMMYFUNCTION("""COMPUTED_VALUE"""),0.0)</f>
        <v>0</v>
      </c>
      <c r="E68" s="91">
        <f>IFERROR(__xludf.DUMMYFUNCTION("""COMPUTED_VALUE"""),0.0)</f>
        <v>0</v>
      </c>
      <c r="F68" s="91">
        <f>IFERROR(__xludf.DUMMYFUNCTION("""COMPUTED_VALUE"""),0.0)</f>
        <v>0</v>
      </c>
      <c r="G68" s="91">
        <f>IFERROR(__xludf.DUMMYFUNCTION("""COMPUTED_VALUE"""),0.0)</f>
        <v>0</v>
      </c>
      <c r="H68" s="24"/>
      <c r="I68" s="91">
        <f>IFERROR(__xludf.DUMMYFUNCTION("""COMPUTED_VALUE"""),0.0)</f>
        <v>0</v>
      </c>
      <c r="J68" s="91">
        <f>IFERROR(__xludf.DUMMYFUNCTION("""COMPUTED_VALUE"""),0.0)</f>
        <v>0</v>
      </c>
      <c r="K68" s="91">
        <f>IFERROR(__xludf.DUMMYFUNCTION("""COMPUTED_VALUE"""),0.0)</f>
        <v>0</v>
      </c>
      <c r="L68" s="91">
        <f>IFERROR(__xludf.DUMMYFUNCTION("""COMPUTED_VALUE"""),0.0)</f>
        <v>0</v>
      </c>
      <c r="M68" s="91">
        <f>IFERROR(__xludf.DUMMYFUNCTION("""COMPUTED_VALUE"""),0.0)</f>
        <v>0</v>
      </c>
      <c r="N68" s="91">
        <f>IFERROR(__xludf.DUMMYFUNCTION("""COMPUTED_VALUE"""),0.0)</f>
        <v>0</v>
      </c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91">
        <f>IFERROR(__xludf.DUMMYFUNCTION("""COMPUTED_VALUE"""),5657538.0)</f>
        <v>5657538</v>
      </c>
      <c r="C69" s="91">
        <f>IFERROR(__xludf.DUMMYFUNCTION("""COMPUTED_VALUE"""),5657538.0)</f>
        <v>5657538</v>
      </c>
      <c r="D69" s="91">
        <f>IFERROR(__xludf.DUMMYFUNCTION("""COMPUTED_VALUE"""),5657538.0)</f>
        <v>5657538</v>
      </c>
      <c r="E69" s="91">
        <f>IFERROR(__xludf.DUMMYFUNCTION("""COMPUTED_VALUE"""),5657538.0)</f>
        <v>5657538</v>
      </c>
      <c r="F69" s="91">
        <f>IFERROR(__xludf.DUMMYFUNCTION("""COMPUTED_VALUE"""),5657538.0)</f>
        <v>5657538</v>
      </c>
      <c r="G69" s="91">
        <f>IFERROR(__xludf.DUMMYFUNCTION("""COMPUTED_VALUE"""),5657538.0)</f>
        <v>5657538</v>
      </c>
      <c r="H69" s="24"/>
      <c r="I69" s="91">
        <f>IFERROR(__xludf.DUMMYFUNCTION("""COMPUTED_VALUE"""),5657538.0)</f>
        <v>5657538</v>
      </c>
      <c r="J69" s="91">
        <f>IFERROR(__xludf.DUMMYFUNCTION("""COMPUTED_VALUE"""),5657538.0)</f>
        <v>5657538</v>
      </c>
      <c r="K69" s="91">
        <f>IFERROR(__xludf.DUMMYFUNCTION("""COMPUTED_VALUE"""),0.0)</f>
        <v>0</v>
      </c>
      <c r="L69" s="91">
        <f>IFERROR(__xludf.DUMMYFUNCTION("""COMPUTED_VALUE"""),0.0)</f>
        <v>0</v>
      </c>
      <c r="M69" s="91">
        <f>IFERROR(__xludf.DUMMYFUNCTION("""COMPUTED_VALUE"""),0.0)</f>
        <v>0</v>
      </c>
      <c r="N69" s="91">
        <f>IFERROR(__xludf.DUMMYFUNCTION("""COMPUTED_VALUE"""),0.0)</f>
        <v>0</v>
      </c>
      <c r="O69" s="46">
        <f>IFERROR(__xludf.DUMMYFUNCTION("""COMPUTED_VALUE"""),4.5260304E7)</f>
        <v>45260304</v>
      </c>
      <c r="P69" s="47">
        <f>IFERROR(__xludf.DUMMYFUNCTION("""COMPUTED_VALUE"""),0.19662178259025387)</f>
        <v>0.1966217826</v>
      </c>
      <c r="Q69" s="16"/>
    </row>
    <row r="70" ht="15.75" customHeight="1">
      <c r="A70" s="48" t="str">
        <f>IFERROR(__xludf.DUMMYFUNCTION("""COMPUTED_VALUE"""),"賃借料")</f>
        <v>賃借料</v>
      </c>
      <c r="B70" s="91">
        <f>IFERROR(__xludf.DUMMYFUNCTION("""COMPUTED_VALUE"""),72342.0)</f>
        <v>72342</v>
      </c>
      <c r="C70" s="91">
        <f>IFERROR(__xludf.DUMMYFUNCTION("""COMPUTED_VALUE"""),72342.0)</f>
        <v>72342</v>
      </c>
      <c r="D70" s="91">
        <f>IFERROR(__xludf.DUMMYFUNCTION("""COMPUTED_VALUE"""),77418.0)</f>
        <v>77418</v>
      </c>
      <c r="E70" s="91">
        <f>IFERROR(__xludf.DUMMYFUNCTION("""COMPUTED_VALUE"""),49500.0)</f>
        <v>49500</v>
      </c>
      <c r="F70" s="91">
        <f>IFERROR(__xludf.DUMMYFUNCTION("""COMPUTED_VALUE"""),49500.0)</f>
        <v>49500</v>
      </c>
      <c r="G70" s="91">
        <f>IFERROR(__xludf.DUMMYFUNCTION("""COMPUTED_VALUE"""),49500.0)</f>
        <v>49500</v>
      </c>
      <c r="H70" s="24"/>
      <c r="I70" s="91">
        <f>IFERROR(__xludf.DUMMYFUNCTION("""COMPUTED_VALUE"""),49500.0)</f>
        <v>49500</v>
      </c>
      <c r="J70" s="91">
        <f>IFERROR(__xludf.DUMMYFUNCTION("""COMPUTED_VALUE"""),49500.0)</f>
        <v>49500</v>
      </c>
      <c r="K70" s="91">
        <f>IFERROR(__xludf.DUMMYFUNCTION("""COMPUTED_VALUE"""),0.0)</f>
        <v>0</v>
      </c>
      <c r="L70" s="91">
        <f>IFERROR(__xludf.DUMMYFUNCTION("""COMPUTED_VALUE"""),0.0)</f>
        <v>0</v>
      </c>
      <c r="M70" s="91">
        <f>IFERROR(__xludf.DUMMYFUNCTION("""COMPUTED_VALUE"""),0.0)</f>
        <v>0</v>
      </c>
      <c r="N70" s="91">
        <f>IFERROR(__xludf.DUMMYFUNCTION("""COMPUTED_VALUE"""),0.0)</f>
        <v>0</v>
      </c>
      <c r="O70" s="46">
        <f>IFERROR(__xludf.DUMMYFUNCTION("""COMPUTED_VALUE"""),469602.0)</f>
        <v>469602</v>
      </c>
      <c r="P70" s="47">
        <f>IFERROR(__xludf.DUMMYFUNCTION("""COMPUTED_VALUE"""),0.0020400654478137928)</f>
        <v>0.002040065448</v>
      </c>
      <c r="Q70" s="16"/>
    </row>
    <row r="71" ht="15.75" customHeight="1">
      <c r="A71" s="48" t="str">
        <f>IFERROR(__xludf.DUMMYFUNCTION("""COMPUTED_VALUE"""),"法定福利費")</f>
        <v>法定福利費</v>
      </c>
      <c r="B71" s="91">
        <f>IFERROR(__xludf.DUMMYFUNCTION("""COMPUTED_VALUE"""),4722359.0)</f>
        <v>4722359</v>
      </c>
      <c r="C71" s="91">
        <f>IFERROR(__xludf.DUMMYFUNCTION("""COMPUTED_VALUE"""),8477443.0)</f>
        <v>8477443</v>
      </c>
      <c r="D71" s="91">
        <f>IFERROR(__xludf.DUMMYFUNCTION("""COMPUTED_VALUE"""),515412.0)</f>
        <v>515412</v>
      </c>
      <c r="E71" s="91">
        <f>IFERROR(__xludf.DUMMYFUNCTION("""COMPUTED_VALUE"""),4803799.0)</f>
        <v>4803799</v>
      </c>
      <c r="F71" s="91">
        <f>IFERROR(__xludf.DUMMYFUNCTION("""COMPUTED_VALUE"""),1.5592748E7)</f>
        <v>15592748</v>
      </c>
      <c r="G71" s="91">
        <f>IFERROR(__xludf.DUMMYFUNCTION("""COMPUTED_VALUE"""),4651747.0)</f>
        <v>4651747</v>
      </c>
      <c r="H71" s="24"/>
      <c r="I71" s="91">
        <f>IFERROR(__xludf.DUMMYFUNCTION("""COMPUTED_VALUE"""),6855334.0)</f>
        <v>6855334</v>
      </c>
      <c r="J71" s="91">
        <f>IFERROR(__xludf.DUMMYFUNCTION("""COMPUTED_VALUE"""),4844334.0)</f>
        <v>4844334</v>
      </c>
      <c r="K71" s="91">
        <f>IFERROR(__xludf.DUMMYFUNCTION("""COMPUTED_VALUE"""),0.0)</f>
        <v>0</v>
      </c>
      <c r="L71" s="91">
        <f>IFERROR(__xludf.DUMMYFUNCTION("""COMPUTED_VALUE"""),0.0)</f>
        <v>0</v>
      </c>
      <c r="M71" s="91">
        <f>IFERROR(__xludf.DUMMYFUNCTION("""COMPUTED_VALUE"""),0.0)</f>
        <v>0</v>
      </c>
      <c r="N71" s="91">
        <f>IFERROR(__xludf.DUMMYFUNCTION("""COMPUTED_VALUE"""),0.0)</f>
        <v>0</v>
      </c>
      <c r="O71" s="46">
        <f>IFERROR(__xludf.DUMMYFUNCTION("""COMPUTED_VALUE"""),5.0463176E7)</f>
        <v>50463176</v>
      </c>
      <c r="P71" s="47">
        <f>IFERROR(__xludf.DUMMYFUNCTION("""COMPUTED_VALUE"""),0.2192243255875108)</f>
        <v>0.2192243256</v>
      </c>
      <c r="Q71" s="16"/>
    </row>
    <row r="72" ht="15.75" customHeight="1">
      <c r="A72" s="48" t="str">
        <f>IFERROR(__xludf.DUMMYFUNCTION("""COMPUTED_VALUE"""),"福利厚生費")</f>
        <v>福利厚生費</v>
      </c>
      <c r="B72" s="91">
        <f>IFERROR(__xludf.DUMMYFUNCTION("""COMPUTED_VALUE"""),96708.0)</f>
        <v>96708</v>
      </c>
      <c r="C72" s="91">
        <f>IFERROR(__xludf.DUMMYFUNCTION("""COMPUTED_VALUE"""),49500.0)</f>
        <v>49500</v>
      </c>
      <c r="D72" s="91">
        <f>IFERROR(__xludf.DUMMYFUNCTION("""COMPUTED_VALUE"""),60500.0)</f>
        <v>60500</v>
      </c>
      <c r="E72" s="91">
        <f>IFERROR(__xludf.DUMMYFUNCTION("""COMPUTED_VALUE"""),90200.0)</f>
        <v>90200</v>
      </c>
      <c r="F72" s="91">
        <f>IFERROR(__xludf.DUMMYFUNCTION("""COMPUTED_VALUE"""),152590.0)</f>
        <v>152590</v>
      </c>
      <c r="G72" s="91">
        <f>IFERROR(__xludf.DUMMYFUNCTION("""COMPUTED_VALUE"""),227700.0)</f>
        <v>227700</v>
      </c>
      <c r="H72" s="24"/>
      <c r="I72" s="91">
        <f>IFERROR(__xludf.DUMMYFUNCTION("""COMPUTED_VALUE"""),65000.0)</f>
        <v>65000</v>
      </c>
      <c r="J72" s="91">
        <f>IFERROR(__xludf.DUMMYFUNCTION("""COMPUTED_VALUE"""),187010.0)</f>
        <v>187010</v>
      </c>
      <c r="K72" s="91">
        <f>IFERROR(__xludf.DUMMYFUNCTION("""COMPUTED_VALUE"""),0.0)</f>
        <v>0</v>
      </c>
      <c r="L72" s="91">
        <f>IFERROR(__xludf.DUMMYFUNCTION("""COMPUTED_VALUE"""),0.0)</f>
        <v>0</v>
      </c>
      <c r="M72" s="91">
        <f>IFERROR(__xludf.DUMMYFUNCTION("""COMPUTED_VALUE"""),0.0)</f>
        <v>0</v>
      </c>
      <c r="N72" s="91">
        <f>IFERROR(__xludf.DUMMYFUNCTION("""COMPUTED_VALUE"""),0.0)</f>
        <v>0</v>
      </c>
      <c r="O72" s="46">
        <f>IFERROR(__xludf.DUMMYFUNCTION("""COMPUTED_VALUE"""),929208.0)</f>
        <v>929208</v>
      </c>
      <c r="P72" s="47">
        <f>IFERROR(__xludf.DUMMYFUNCTION("""COMPUTED_VALUE"""),0.004036705837351968)</f>
        <v>0.004036705837</v>
      </c>
      <c r="Q72" s="16"/>
    </row>
    <row r="73" ht="15.75" customHeight="1">
      <c r="A73" s="48" t="str">
        <f>IFERROR(__xludf.DUMMYFUNCTION("""COMPUTED_VALUE"""),"租税公課")</f>
        <v>租税公課</v>
      </c>
      <c r="B73" s="91">
        <f>IFERROR(__xludf.DUMMYFUNCTION("""COMPUTED_VALUE"""),8000.0)</f>
        <v>8000</v>
      </c>
      <c r="C73" s="91">
        <f>IFERROR(__xludf.DUMMYFUNCTION("""COMPUTED_VALUE"""),4000.0)</f>
        <v>4000</v>
      </c>
      <c r="D73" s="91">
        <f>IFERROR(__xludf.DUMMYFUNCTION("""COMPUTED_VALUE"""),0.0)</f>
        <v>0</v>
      </c>
      <c r="E73" s="91">
        <f>IFERROR(__xludf.DUMMYFUNCTION("""COMPUTED_VALUE"""),10000.0)</f>
        <v>10000</v>
      </c>
      <c r="F73" s="91">
        <f>IFERROR(__xludf.DUMMYFUNCTION("""COMPUTED_VALUE"""),0.0)</f>
        <v>0</v>
      </c>
      <c r="G73" s="91">
        <f>IFERROR(__xludf.DUMMYFUNCTION("""COMPUTED_VALUE"""),4000.0)</f>
        <v>4000</v>
      </c>
      <c r="H73" s="24"/>
      <c r="I73" s="91">
        <f>IFERROR(__xludf.DUMMYFUNCTION("""COMPUTED_VALUE"""),12000.0)</f>
        <v>12000</v>
      </c>
      <c r="J73" s="91">
        <f>IFERROR(__xludf.DUMMYFUNCTION("""COMPUTED_VALUE"""),0.0)</f>
        <v>0</v>
      </c>
      <c r="K73" s="91">
        <f>IFERROR(__xludf.DUMMYFUNCTION("""COMPUTED_VALUE"""),0.0)</f>
        <v>0</v>
      </c>
      <c r="L73" s="91">
        <f>IFERROR(__xludf.DUMMYFUNCTION("""COMPUTED_VALUE"""),0.0)</f>
        <v>0</v>
      </c>
      <c r="M73" s="91">
        <f>IFERROR(__xludf.DUMMYFUNCTION("""COMPUTED_VALUE"""),0.0)</f>
        <v>0</v>
      </c>
      <c r="N73" s="91">
        <f>IFERROR(__xludf.DUMMYFUNCTION("""COMPUTED_VALUE"""),0.0)</f>
        <v>0</v>
      </c>
      <c r="O73" s="46">
        <f>IFERROR(__xludf.DUMMYFUNCTION("""COMPUTED_VALUE"""),38000.0)</f>
        <v>38000</v>
      </c>
      <c r="P73" s="47">
        <f>IFERROR(__xludf.DUMMYFUNCTION("""COMPUTED_VALUE"""),1.6508125394892724E-4)</f>
        <v>0.0001650812539</v>
      </c>
      <c r="Q73" s="16"/>
    </row>
    <row r="74" ht="15.75" customHeight="1">
      <c r="A74" s="48" t="str">
        <f>IFERROR(__xludf.DUMMYFUNCTION("""COMPUTED_VALUE"""),"教務費")</f>
        <v>教務費</v>
      </c>
      <c r="B74" s="91">
        <f>IFERROR(__xludf.DUMMYFUNCTION("""COMPUTED_VALUE"""),0.0)</f>
        <v>0</v>
      </c>
      <c r="C74" s="91">
        <f>IFERROR(__xludf.DUMMYFUNCTION("""COMPUTED_VALUE"""),0.0)</f>
        <v>0</v>
      </c>
      <c r="D74" s="91">
        <f>IFERROR(__xludf.DUMMYFUNCTION("""COMPUTED_VALUE"""),0.0)</f>
        <v>0</v>
      </c>
      <c r="E74" s="91">
        <f>IFERROR(__xludf.DUMMYFUNCTION("""COMPUTED_VALUE"""),0.0)</f>
        <v>0</v>
      </c>
      <c r="F74" s="91">
        <f>IFERROR(__xludf.DUMMYFUNCTION("""COMPUTED_VALUE"""),0.0)</f>
        <v>0</v>
      </c>
      <c r="G74" s="91">
        <f>IFERROR(__xludf.DUMMYFUNCTION("""COMPUTED_VALUE"""),0.0)</f>
        <v>0</v>
      </c>
      <c r="H74" s="24"/>
      <c r="I74" s="91">
        <f>IFERROR(__xludf.DUMMYFUNCTION("""COMPUTED_VALUE"""),0.0)</f>
        <v>0</v>
      </c>
      <c r="J74" s="91">
        <f>IFERROR(__xludf.DUMMYFUNCTION("""COMPUTED_VALUE"""),0.0)</f>
        <v>0</v>
      </c>
      <c r="K74" s="91">
        <f>IFERROR(__xludf.DUMMYFUNCTION("""COMPUTED_VALUE"""),0.0)</f>
        <v>0</v>
      </c>
      <c r="L74" s="91">
        <f>IFERROR(__xludf.DUMMYFUNCTION("""COMPUTED_VALUE"""),0.0)</f>
        <v>0</v>
      </c>
      <c r="M74" s="91">
        <f>IFERROR(__xludf.DUMMYFUNCTION("""COMPUTED_VALUE"""),0.0)</f>
        <v>0</v>
      </c>
      <c r="N74" s="91">
        <f>IFERROR(__xludf.DUMMYFUNCTION("""COMPUTED_VALUE"""),0.0)</f>
        <v>0</v>
      </c>
      <c r="O74" s="46">
        <f>IFERROR(__xludf.DUMMYFUNCTION("""COMPUTED_VALUE"""),0.0)</f>
        <v>0</v>
      </c>
      <c r="P74" s="47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91">
        <f>IFERROR(__xludf.DUMMYFUNCTION("""COMPUTED_VALUE"""),1925000.0)</f>
        <v>1925000</v>
      </c>
      <c r="C75" s="91">
        <f>IFERROR(__xludf.DUMMYFUNCTION("""COMPUTED_VALUE"""),385000.0)</f>
        <v>385000</v>
      </c>
      <c r="D75" s="91">
        <f>IFERROR(__xludf.DUMMYFUNCTION("""COMPUTED_VALUE"""),385000.0)</f>
        <v>385000</v>
      </c>
      <c r="E75" s="91">
        <f>IFERROR(__xludf.DUMMYFUNCTION("""COMPUTED_VALUE"""),385000.0)</f>
        <v>385000</v>
      </c>
      <c r="F75" s="91">
        <f>IFERROR(__xludf.DUMMYFUNCTION("""COMPUTED_VALUE"""),385000.0)</f>
        <v>385000</v>
      </c>
      <c r="G75" s="91">
        <f>IFERROR(__xludf.DUMMYFUNCTION("""COMPUTED_VALUE"""),385000.0)</f>
        <v>385000</v>
      </c>
      <c r="H75" s="24"/>
      <c r="I75" s="91">
        <f>IFERROR(__xludf.DUMMYFUNCTION("""COMPUTED_VALUE"""),385000.0)</f>
        <v>385000</v>
      </c>
      <c r="J75" s="91">
        <f>IFERROR(__xludf.DUMMYFUNCTION("""COMPUTED_VALUE"""),1485000.0)</f>
        <v>1485000</v>
      </c>
      <c r="K75" s="91">
        <f>IFERROR(__xludf.DUMMYFUNCTION("""COMPUTED_VALUE"""),0.0)</f>
        <v>0</v>
      </c>
      <c r="L75" s="91">
        <f>IFERROR(__xludf.DUMMYFUNCTION("""COMPUTED_VALUE"""),0.0)</f>
        <v>0</v>
      </c>
      <c r="M75" s="91">
        <f>IFERROR(__xludf.DUMMYFUNCTION("""COMPUTED_VALUE"""),0.0)</f>
        <v>0</v>
      </c>
      <c r="N75" s="91">
        <f>IFERROR(__xludf.DUMMYFUNCTION("""COMPUTED_VALUE"""),0.0)</f>
        <v>0</v>
      </c>
      <c r="O75" s="46">
        <f>IFERROR(__xludf.DUMMYFUNCTION("""COMPUTED_VALUE"""),5720000.0)</f>
        <v>5720000</v>
      </c>
      <c r="P75" s="47">
        <f>IFERROR(__xludf.DUMMYFUNCTION("""COMPUTED_VALUE"""),0.02484907296283852)</f>
        <v>0.02484907296</v>
      </c>
      <c r="Q75" s="16"/>
    </row>
    <row r="76" ht="15.75" customHeight="1">
      <c r="A76" s="48" t="str">
        <f>IFERROR(__xludf.DUMMYFUNCTION("""COMPUTED_VALUE"""),"諸会費")</f>
        <v>諸会費</v>
      </c>
      <c r="B76" s="91">
        <f>IFERROR(__xludf.DUMMYFUNCTION("""COMPUTED_VALUE"""),151932.0)</f>
        <v>151932</v>
      </c>
      <c r="C76" s="91">
        <f>IFERROR(__xludf.DUMMYFUNCTION("""COMPUTED_VALUE"""),171000.0)</f>
        <v>171000</v>
      </c>
      <c r="D76" s="91">
        <f>IFERROR(__xludf.DUMMYFUNCTION("""COMPUTED_VALUE"""),0.0)</f>
        <v>0</v>
      </c>
      <c r="E76" s="91">
        <f>IFERROR(__xludf.DUMMYFUNCTION("""COMPUTED_VALUE"""),416389.0)</f>
        <v>416389</v>
      </c>
      <c r="F76" s="91">
        <f>IFERROR(__xludf.DUMMYFUNCTION("""COMPUTED_VALUE"""),0.0)</f>
        <v>0</v>
      </c>
      <c r="G76" s="91">
        <f>IFERROR(__xludf.DUMMYFUNCTION("""COMPUTED_VALUE"""),0.0)</f>
        <v>0</v>
      </c>
      <c r="H76" s="24"/>
      <c r="I76" s="91">
        <f>IFERROR(__xludf.DUMMYFUNCTION("""COMPUTED_VALUE"""),2448.0)</f>
        <v>2448</v>
      </c>
      <c r="J76" s="91">
        <f>IFERROR(__xludf.DUMMYFUNCTION("""COMPUTED_VALUE"""),200000.0)</f>
        <v>200000</v>
      </c>
      <c r="K76" s="91">
        <f>IFERROR(__xludf.DUMMYFUNCTION("""COMPUTED_VALUE"""),0.0)</f>
        <v>0</v>
      </c>
      <c r="L76" s="91">
        <f>IFERROR(__xludf.DUMMYFUNCTION("""COMPUTED_VALUE"""),0.0)</f>
        <v>0</v>
      </c>
      <c r="M76" s="91">
        <f>IFERROR(__xludf.DUMMYFUNCTION("""COMPUTED_VALUE"""),0.0)</f>
        <v>0</v>
      </c>
      <c r="N76" s="91">
        <f>IFERROR(__xludf.DUMMYFUNCTION("""COMPUTED_VALUE"""),0.0)</f>
        <v>0</v>
      </c>
      <c r="O76" s="46">
        <f>IFERROR(__xludf.DUMMYFUNCTION("""COMPUTED_VALUE"""),941769.0)</f>
        <v>941769</v>
      </c>
      <c r="P76" s="47">
        <f>IFERROR(__xludf.DUMMYFUNCTION("""COMPUTED_VALUE"""),0.004091273880269138)</f>
        <v>0.00409127388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91">
        <f>IFERROR(__xludf.DUMMYFUNCTION("""COMPUTED_VALUE"""),8104792.0)</f>
        <v>8104792</v>
      </c>
      <c r="C77" s="91">
        <f>IFERROR(__xludf.DUMMYFUNCTION("""COMPUTED_VALUE"""),8110821.0)</f>
        <v>8110821</v>
      </c>
      <c r="D77" s="91">
        <f>IFERROR(__xludf.DUMMYFUNCTION("""COMPUTED_VALUE"""),1.1361449E7)</f>
        <v>11361449</v>
      </c>
      <c r="E77" s="91">
        <f>IFERROR(__xludf.DUMMYFUNCTION("""COMPUTED_VALUE"""),8328998.0)</f>
        <v>8328998</v>
      </c>
      <c r="F77" s="91">
        <f>IFERROR(__xludf.DUMMYFUNCTION("""COMPUTED_VALUE"""),7924709.0)</f>
        <v>7924709</v>
      </c>
      <c r="G77" s="91">
        <f>IFERROR(__xludf.DUMMYFUNCTION("""COMPUTED_VALUE"""),7919358.0)</f>
        <v>7919358</v>
      </c>
      <c r="H77" s="24"/>
      <c r="I77" s="91">
        <f>IFERROR(__xludf.DUMMYFUNCTION("""COMPUTED_VALUE"""),8052010.0)</f>
        <v>8052010</v>
      </c>
      <c r="J77" s="91">
        <f>IFERROR(__xludf.DUMMYFUNCTION("""COMPUTED_VALUE"""),7895329.0)</f>
        <v>7895329</v>
      </c>
      <c r="K77" s="91">
        <f>IFERROR(__xludf.DUMMYFUNCTION("""COMPUTED_VALUE"""),0.0)</f>
        <v>0</v>
      </c>
      <c r="L77" s="91">
        <f>IFERROR(__xludf.DUMMYFUNCTION("""COMPUTED_VALUE"""),0.0)</f>
        <v>0</v>
      </c>
      <c r="M77" s="91">
        <f>IFERROR(__xludf.DUMMYFUNCTION("""COMPUTED_VALUE"""),0.0)</f>
        <v>0</v>
      </c>
      <c r="N77" s="91">
        <f>IFERROR(__xludf.DUMMYFUNCTION("""COMPUTED_VALUE"""),0.0)</f>
        <v>0</v>
      </c>
      <c r="O77" s="46">
        <f>IFERROR(__xludf.DUMMYFUNCTION("""COMPUTED_VALUE"""),6.7697466E7)</f>
        <v>67697466</v>
      </c>
      <c r="P77" s="47">
        <f>IFERROR(__xludf.DUMMYFUNCTION("""COMPUTED_VALUE"""),0.2940942783274965)</f>
        <v>0.2940942783</v>
      </c>
      <c r="Q77" s="16"/>
    </row>
    <row r="78" ht="15.75" customHeight="1">
      <c r="A78" s="51" t="str">
        <f>IFERROR(__xludf.DUMMYFUNCTION("""COMPUTED_VALUE"""),"正社員")</f>
        <v>正社員</v>
      </c>
      <c r="B78" s="92">
        <f>IFERROR(__xludf.DUMMYFUNCTION("""COMPUTED_VALUE"""),7230155.0)</f>
        <v>7230155</v>
      </c>
      <c r="C78" s="92">
        <f>IFERROR(__xludf.DUMMYFUNCTION("""COMPUTED_VALUE"""),7241133.0)</f>
        <v>7241133</v>
      </c>
      <c r="D78" s="92">
        <f>IFERROR(__xludf.DUMMYFUNCTION("""COMPUTED_VALUE"""),1.0390357E7)</f>
        <v>10390357</v>
      </c>
      <c r="E78" s="92">
        <f>IFERROR(__xludf.DUMMYFUNCTION("""COMPUTED_VALUE"""),7421066.0)</f>
        <v>7421066</v>
      </c>
      <c r="F78" s="92">
        <f>IFERROR(__xludf.DUMMYFUNCTION("""COMPUTED_VALUE"""),7088285.0)</f>
        <v>7088285</v>
      </c>
      <c r="G78" s="92">
        <f>IFERROR(__xludf.DUMMYFUNCTION("""COMPUTED_VALUE"""),7085395.0)</f>
        <v>7085395</v>
      </c>
      <c r="H78" s="24"/>
      <c r="I78" s="92">
        <f>IFERROR(__xludf.DUMMYFUNCTION("""COMPUTED_VALUE"""),7098518.0)</f>
        <v>7098518</v>
      </c>
      <c r="J78" s="92">
        <f>IFERROR(__xludf.DUMMYFUNCTION("""COMPUTED_VALUE"""),7102291.0)</f>
        <v>7102291</v>
      </c>
      <c r="K78" s="92">
        <f>IFERROR(__xludf.DUMMYFUNCTION("""COMPUTED_VALUE"""),0.0)</f>
        <v>0</v>
      </c>
      <c r="L78" s="92">
        <f>IFERROR(__xludf.DUMMYFUNCTION("""COMPUTED_VALUE"""),0.0)</f>
        <v>0</v>
      </c>
      <c r="M78" s="92">
        <f>IFERROR(__xludf.DUMMYFUNCTION("""COMPUTED_VALUE"""),0.0)</f>
        <v>0</v>
      </c>
      <c r="N78" s="92">
        <f>IFERROR(__xludf.DUMMYFUNCTION("""COMPUTED_VALUE"""),0.0)</f>
        <v>0</v>
      </c>
      <c r="O78" s="52">
        <f>IFERROR(__xludf.DUMMYFUNCTION("""COMPUTED_VALUE"""),6.06572E7)</f>
        <v>60657200</v>
      </c>
      <c r="P78" s="53">
        <f>IFERROR(__xludf.DUMMYFUNCTION("""COMPUTED_VALUE"""),0.8960039951864668)</f>
        <v>0.8960039952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92">
        <f>IFERROR(__xludf.DUMMYFUNCTION("""COMPUTED_VALUE"""),591290.0)</f>
        <v>591290</v>
      </c>
      <c r="C79" s="92">
        <f>IFERROR(__xludf.DUMMYFUNCTION("""COMPUTED_VALUE"""),608834.0)</f>
        <v>608834</v>
      </c>
      <c r="D79" s="92">
        <f>IFERROR(__xludf.DUMMYFUNCTION("""COMPUTED_VALUE"""),683507.0)</f>
        <v>683507</v>
      </c>
      <c r="E79" s="92">
        <f>IFERROR(__xludf.DUMMYFUNCTION("""COMPUTED_VALUE"""),654120.0)</f>
        <v>654120</v>
      </c>
      <c r="F79" s="92">
        <f>IFERROR(__xludf.DUMMYFUNCTION("""COMPUTED_VALUE"""),585002.0)</f>
        <v>585002</v>
      </c>
      <c r="G79" s="92">
        <f>IFERROR(__xludf.DUMMYFUNCTION("""COMPUTED_VALUE"""),551196.0)</f>
        <v>551196</v>
      </c>
      <c r="H79" s="24"/>
      <c r="I79" s="92">
        <f>IFERROR(__xludf.DUMMYFUNCTION("""COMPUTED_VALUE"""),654863.0)</f>
        <v>654863</v>
      </c>
      <c r="J79" s="92">
        <f>IFERROR(__xludf.DUMMYFUNCTION("""COMPUTED_VALUE"""),503037.0)</f>
        <v>503037</v>
      </c>
      <c r="K79" s="92">
        <f>IFERROR(__xludf.DUMMYFUNCTION("""COMPUTED_VALUE"""),0.0)</f>
        <v>0</v>
      </c>
      <c r="L79" s="92">
        <f>IFERROR(__xludf.DUMMYFUNCTION("""COMPUTED_VALUE"""),0.0)</f>
        <v>0</v>
      </c>
      <c r="M79" s="92">
        <f>IFERROR(__xludf.DUMMYFUNCTION("""COMPUTED_VALUE"""),0.0)</f>
        <v>0</v>
      </c>
      <c r="N79" s="92">
        <f>IFERROR(__xludf.DUMMYFUNCTION("""COMPUTED_VALUE"""),0.0)</f>
        <v>0</v>
      </c>
      <c r="O79" s="52">
        <f>IFERROR(__xludf.DUMMYFUNCTION("""COMPUTED_VALUE"""),4831849.0)</f>
        <v>4831849</v>
      </c>
      <c r="P79" s="53">
        <f>IFERROR(__xludf.DUMMYFUNCTION("""COMPUTED_VALUE"""),0.0713741486276606)</f>
        <v>0.07137414863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92">
        <f>IFERROR(__xludf.DUMMYFUNCTION("""COMPUTED_VALUE"""),268245.0)</f>
        <v>268245</v>
      </c>
      <c r="C80" s="92">
        <f>IFERROR(__xludf.DUMMYFUNCTION("""COMPUTED_VALUE"""),243956.0)</f>
        <v>243956</v>
      </c>
      <c r="D80" s="92">
        <f>IFERROR(__xludf.DUMMYFUNCTION("""COMPUTED_VALUE"""),270163.0)</f>
        <v>270163</v>
      </c>
      <c r="E80" s="92">
        <f>IFERROR(__xludf.DUMMYFUNCTION("""COMPUTED_VALUE"""),235864.0)</f>
        <v>235864</v>
      </c>
      <c r="F80" s="92">
        <f>IFERROR(__xludf.DUMMYFUNCTION("""COMPUTED_VALUE"""),247526.0)</f>
        <v>247526</v>
      </c>
      <c r="G80" s="92">
        <f>IFERROR(__xludf.DUMMYFUNCTION("""COMPUTED_VALUE"""),265345.0)</f>
        <v>265345</v>
      </c>
      <c r="H80" s="24"/>
      <c r="I80" s="92">
        <f>IFERROR(__xludf.DUMMYFUNCTION("""COMPUTED_VALUE"""),291611.0)</f>
        <v>291611</v>
      </c>
      <c r="J80" s="92">
        <f>IFERROR(__xludf.DUMMYFUNCTION("""COMPUTED_VALUE"""),277999.0)</f>
        <v>277999</v>
      </c>
      <c r="K80" s="92">
        <f>IFERROR(__xludf.DUMMYFUNCTION("""COMPUTED_VALUE"""),0.0)</f>
        <v>0</v>
      </c>
      <c r="L80" s="92">
        <f>IFERROR(__xludf.DUMMYFUNCTION("""COMPUTED_VALUE"""),0.0)</f>
        <v>0</v>
      </c>
      <c r="M80" s="92">
        <f>IFERROR(__xludf.DUMMYFUNCTION("""COMPUTED_VALUE"""),0.0)</f>
        <v>0</v>
      </c>
      <c r="N80" s="92">
        <f>IFERROR(__xludf.DUMMYFUNCTION("""COMPUTED_VALUE"""),0.0)</f>
        <v>0</v>
      </c>
      <c r="O80" s="52">
        <f>IFERROR(__xludf.DUMMYFUNCTION("""COMPUTED_VALUE"""),2100709.0)</f>
        <v>2100709</v>
      </c>
      <c r="P80" s="53">
        <f>IFERROR(__xludf.DUMMYFUNCTION("""COMPUTED_VALUE"""),0.03103083651609648)</f>
        <v>0.03103083652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92">
        <f>IFERROR(__xludf.DUMMYFUNCTION("""COMPUTED_VALUE"""),15102.0)</f>
        <v>15102</v>
      </c>
      <c r="C81" s="92">
        <f>IFERROR(__xludf.DUMMYFUNCTION("""COMPUTED_VALUE"""),16898.0)</f>
        <v>16898</v>
      </c>
      <c r="D81" s="92">
        <f>IFERROR(__xludf.DUMMYFUNCTION("""COMPUTED_VALUE"""),17422.0)</f>
        <v>17422</v>
      </c>
      <c r="E81" s="92">
        <f>IFERROR(__xludf.DUMMYFUNCTION("""COMPUTED_VALUE"""),17948.0)</f>
        <v>17948</v>
      </c>
      <c r="F81" s="92">
        <f>IFERROR(__xludf.DUMMYFUNCTION("""COMPUTED_VALUE"""),3896.0)</f>
        <v>3896</v>
      </c>
      <c r="G81" s="92">
        <f>IFERROR(__xludf.DUMMYFUNCTION("""COMPUTED_VALUE"""),17422.0)</f>
        <v>17422</v>
      </c>
      <c r="H81" s="24"/>
      <c r="I81" s="92">
        <f>IFERROR(__xludf.DUMMYFUNCTION("""COMPUTED_VALUE"""),7018.0)</f>
        <v>7018</v>
      </c>
      <c r="J81" s="92">
        <f>IFERROR(__xludf.DUMMYFUNCTION("""COMPUTED_VALUE"""),12002.0)</f>
        <v>12002</v>
      </c>
      <c r="K81" s="92">
        <f>IFERROR(__xludf.DUMMYFUNCTION("""COMPUTED_VALUE"""),0.0)</f>
        <v>0</v>
      </c>
      <c r="L81" s="92">
        <f>IFERROR(__xludf.DUMMYFUNCTION("""COMPUTED_VALUE"""),0.0)</f>
        <v>0</v>
      </c>
      <c r="M81" s="92">
        <f>IFERROR(__xludf.DUMMYFUNCTION("""COMPUTED_VALUE"""),0.0)</f>
        <v>0</v>
      </c>
      <c r="N81" s="92">
        <f>IFERROR(__xludf.DUMMYFUNCTION("""COMPUTED_VALUE"""),0.0)</f>
        <v>0</v>
      </c>
      <c r="O81" s="52">
        <f>IFERROR(__xludf.DUMMYFUNCTION("""COMPUTED_VALUE"""),107708.0)</f>
        <v>107708</v>
      </c>
      <c r="P81" s="53">
        <f>IFERROR(__xludf.DUMMYFUNCTION("""COMPUTED_VALUE"""),0.0015910196697761184)</f>
        <v>0.00159101967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91">
        <f>IFERROR(__xludf.DUMMYFUNCTION("""COMPUTED_VALUE"""),0.0)</f>
        <v>0</v>
      </c>
      <c r="C82" s="91">
        <f>IFERROR(__xludf.DUMMYFUNCTION("""COMPUTED_VALUE"""),0.0)</f>
        <v>0</v>
      </c>
      <c r="D82" s="91">
        <f>IFERROR(__xludf.DUMMYFUNCTION("""COMPUTED_VALUE"""),0.0)</f>
        <v>0</v>
      </c>
      <c r="E82" s="91">
        <f>IFERROR(__xludf.DUMMYFUNCTION("""COMPUTED_VALUE"""),0.0)</f>
        <v>0</v>
      </c>
      <c r="F82" s="91">
        <f>IFERROR(__xludf.DUMMYFUNCTION("""COMPUTED_VALUE"""),0.0)</f>
        <v>0</v>
      </c>
      <c r="G82" s="91">
        <f>IFERROR(__xludf.DUMMYFUNCTION("""COMPUTED_VALUE"""),0.0)</f>
        <v>0</v>
      </c>
      <c r="H82" s="24"/>
      <c r="I82" s="91">
        <f>IFERROR(__xludf.DUMMYFUNCTION("""COMPUTED_VALUE"""),0.0)</f>
        <v>0</v>
      </c>
      <c r="J82" s="91">
        <f>IFERROR(__xludf.DUMMYFUNCTION("""COMPUTED_VALUE"""),0.0)</f>
        <v>0</v>
      </c>
      <c r="K82" s="91">
        <f>IFERROR(__xludf.DUMMYFUNCTION("""COMPUTED_VALUE"""),0.0)</f>
        <v>0</v>
      </c>
      <c r="L82" s="91">
        <f>IFERROR(__xludf.DUMMYFUNCTION("""COMPUTED_VALUE"""),0.0)</f>
        <v>0</v>
      </c>
      <c r="M82" s="91">
        <f>IFERROR(__xludf.DUMMYFUNCTION("""COMPUTED_VALUE"""),0.0)</f>
        <v>0</v>
      </c>
      <c r="N82" s="91">
        <f>IFERROR(__xludf.DUMMYFUNCTION("""COMPUTED_VALUE"""),0.0)</f>
        <v>0</v>
      </c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91">
        <f>IFERROR(__xludf.DUMMYFUNCTION("""COMPUTED_VALUE"""),5280.0)</f>
        <v>5280</v>
      </c>
      <c r="C83" s="91">
        <f>IFERROR(__xludf.DUMMYFUNCTION("""COMPUTED_VALUE"""),5280.0)</f>
        <v>5280</v>
      </c>
      <c r="D83" s="91">
        <f>IFERROR(__xludf.DUMMYFUNCTION("""COMPUTED_VALUE"""),5280.0)</f>
        <v>5280</v>
      </c>
      <c r="E83" s="91">
        <f>IFERROR(__xludf.DUMMYFUNCTION("""COMPUTED_VALUE"""),5280.0)</f>
        <v>5280</v>
      </c>
      <c r="F83" s="91">
        <f>IFERROR(__xludf.DUMMYFUNCTION("""COMPUTED_VALUE"""),5280.0)</f>
        <v>5280</v>
      </c>
      <c r="G83" s="91">
        <f>IFERROR(__xludf.DUMMYFUNCTION("""COMPUTED_VALUE"""),5280.0)</f>
        <v>5280</v>
      </c>
      <c r="H83" s="24"/>
      <c r="I83" s="91">
        <f>IFERROR(__xludf.DUMMYFUNCTION("""COMPUTED_VALUE"""),0.0)</f>
        <v>0</v>
      </c>
      <c r="J83" s="91">
        <f>IFERROR(__xludf.DUMMYFUNCTION("""COMPUTED_VALUE"""),5280.0)</f>
        <v>5280</v>
      </c>
      <c r="K83" s="91">
        <f>IFERROR(__xludf.DUMMYFUNCTION("""COMPUTED_VALUE"""),0.0)</f>
        <v>0</v>
      </c>
      <c r="L83" s="91">
        <f>IFERROR(__xludf.DUMMYFUNCTION("""COMPUTED_VALUE"""),0.0)</f>
        <v>0</v>
      </c>
      <c r="M83" s="91">
        <f>IFERROR(__xludf.DUMMYFUNCTION("""COMPUTED_VALUE"""),0.0)</f>
        <v>0</v>
      </c>
      <c r="N83" s="91">
        <f>IFERROR(__xludf.DUMMYFUNCTION("""COMPUTED_VALUE"""),0.0)</f>
        <v>0</v>
      </c>
      <c r="O83" s="46">
        <f>IFERROR(__xludf.DUMMYFUNCTION("""COMPUTED_VALUE"""),36960.0)</f>
        <v>36960</v>
      </c>
      <c r="P83" s="47">
        <f>IFERROR(__xludf.DUMMYFUNCTION("""COMPUTED_VALUE"""),1.605632406829566E-4)</f>
        <v>0.0001605632407</v>
      </c>
      <c r="Q83" s="16"/>
    </row>
    <row r="84" ht="15.75" customHeight="1">
      <c r="A84" s="48" t="str">
        <f>IFERROR(__xludf.DUMMYFUNCTION("""COMPUTED_VALUE"""),"支払手数料")</f>
        <v>支払手数料</v>
      </c>
      <c r="B84" s="91">
        <f>IFERROR(__xludf.DUMMYFUNCTION("""COMPUTED_VALUE"""),325077.0)</f>
        <v>325077</v>
      </c>
      <c r="C84" s="91">
        <f>IFERROR(__xludf.DUMMYFUNCTION("""COMPUTED_VALUE"""),325581.0)</f>
        <v>325581</v>
      </c>
      <c r="D84" s="91">
        <f>IFERROR(__xludf.DUMMYFUNCTION("""COMPUTED_VALUE"""),991277.0)</f>
        <v>991277</v>
      </c>
      <c r="E84" s="91">
        <f>IFERROR(__xludf.DUMMYFUNCTION("""COMPUTED_VALUE"""),337788.0)</f>
        <v>337788</v>
      </c>
      <c r="F84" s="91">
        <f>IFERROR(__xludf.DUMMYFUNCTION("""COMPUTED_VALUE"""),320265.0)</f>
        <v>320265</v>
      </c>
      <c r="G84" s="91">
        <f>IFERROR(__xludf.DUMMYFUNCTION("""COMPUTED_VALUE"""),307796.0)</f>
        <v>307796</v>
      </c>
      <c r="H84" s="24"/>
      <c r="I84" s="91">
        <f>IFERROR(__xludf.DUMMYFUNCTION("""COMPUTED_VALUE"""),324158.0)</f>
        <v>324158</v>
      </c>
      <c r="J84" s="91">
        <f>IFERROR(__xludf.DUMMYFUNCTION("""COMPUTED_VALUE"""),349987.0)</f>
        <v>349987</v>
      </c>
      <c r="K84" s="91">
        <f>IFERROR(__xludf.DUMMYFUNCTION("""COMPUTED_VALUE"""),0.0)</f>
        <v>0</v>
      </c>
      <c r="L84" s="91">
        <f>IFERROR(__xludf.DUMMYFUNCTION("""COMPUTED_VALUE"""),0.0)</f>
        <v>0</v>
      </c>
      <c r="M84" s="91">
        <f>IFERROR(__xludf.DUMMYFUNCTION("""COMPUTED_VALUE"""),0.0)</f>
        <v>0</v>
      </c>
      <c r="N84" s="91">
        <f>IFERROR(__xludf.DUMMYFUNCTION("""COMPUTED_VALUE"""),0.0)</f>
        <v>0</v>
      </c>
      <c r="O84" s="46">
        <f>IFERROR(__xludf.DUMMYFUNCTION("""COMPUTED_VALUE"""),3281929.0)</f>
        <v>3281929</v>
      </c>
      <c r="P84" s="47">
        <f>IFERROR(__xludf.DUMMYFUNCTION("""COMPUTED_VALUE"""),0.014257498807667074)</f>
        <v>0.01425749881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92">
        <f>IFERROR(__xludf.DUMMYFUNCTION("""COMPUTED_VALUE"""),290999.0)</f>
        <v>290999</v>
      </c>
      <c r="C85" s="92">
        <f>IFERROR(__xludf.DUMMYFUNCTION("""COMPUTED_VALUE"""),290625.0)</f>
        <v>290625</v>
      </c>
      <c r="D85" s="92">
        <f>IFERROR(__xludf.DUMMYFUNCTION("""COMPUTED_VALUE"""),298277.0)</f>
        <v>298277</v>
      </c>
      <c r="E85" s="92">
        <f>IFERROR(__xludf.DUMMYFUNCTION("""COMPUTED_VALUE"""),304788.0)</f>
        <v>304788</v>
      </c>
      <c r="F85" s="92">
        <f>IFERROR(__xludf.DUMMYFUNCTION("""COMPUTED_VALUE"""),287265.0)</f>
        <v>287265</v>
      </c>
      <c r="G85" s="92">
        <f>IFERROR(__xludf.DUMMYFUNCTION("""COMPUTED_VALUE"""),274796.0)</f>
        <v>274796</v>
      </c>
      <c r="H85" s="24"/>
      <c r="I85" s="92">
        <f>IFERROR(__xludf.DUMMYFUNCTION("""COMPUTED_VALUE"""),291158.0)</f>
        <v>291158</v>
      </c>
      <c r="J85" s="92">
        <f>IFERROR(__xludf.DUMMYFUNCTION("""COMPUTED_VALUE"""),316987.0)</f>
        <v>316987</v>
      </c>
      <c r="K85" s="92">
        <f>IFERROR(__xludf.DUMMYFUNCTION("""COMPUTED_VALUE"""),0.0)</f>
        <v>0</v>
      </c>
      <c r="L85" s="92">
        <f>IFERROR(__xludf.DUMMYFUNCTION("""COMPUTED_VALUE"""),0.0)</f>
        <v>0</v>
      </c>
      <c r="M85" s="92">
        <f>IFERROR(__xludf.DUMMYFUNCTION("""COMPUTED_VALUE"""),0.0)</f>
        <v>0</v>
      </c>
      <c r="N85" s="92">
        <f>IFERROR(__xludf.DUMMYFUNCTION("""COMPUTED_VALUE"""),0.0)</f>
        <v>0</v>
      </c>
      <c r="O85" s="52">
        <f>IFERROR(__xludf.DUMMYFUNCTION("""COMPUTED_VALUE"""),2354895.0)</f>
        <v>2354895</v>
      </c>
      <c r="P85" s="53">
        <f>IFERROR(__xludf.DUMMYFUNCTION("""COMPUTED_VALUE"""),0.7175338040524338)</f>
        <v>0.7175338041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92">
        <f>IFERROR(__xludf.DUMMYFUNCTION("""COMPUTED_VALUE"""),0.0)</f>
        <v>0</v>
      </c>
      <c r="C86" s="92">
        <f>IFERROR(__xludf.DUMMYFUNCTION("""COMPUTED_VALUE"""),0.0)</f>
        <v>0</v>
      </c>
      <c r="D86" s="92">
        <f>IFERROR(__xludf.DUMMYFUNCTION("""COMPUTED_VALUE"""),0.0)</f>
        <v>0</v>
      </c>
      <c r="E86" s="92">
        <f>IFERROR(__xludf.DUMMYFUNCTION("""COMPUTED_VALUE"""),0.0)</f>
        <v>0</v>
      </c>
      <c r="F86" s="92">
        <f>IFERROR(__xludf.DUMMYFUNCTION("""COMPUTED_VALUE"""),0.0)</f>
        <v>0</v>
      </c>
      <c r="G86" s="92">
        <f>IFERROR(__xludf.DUMMYFUNCTION("""COMPUTED_VALUE"""),0.0)</f>
        <v>0</v>
      </c>
      <c r="H86" s="24"/>
      <c r="I86" s="92">
        <f>IFERROR(__xludf.DUMMYFUNCTION("""COMPUTED_VALUE"""),0.0)</f>
        <v>0</v>
      </c>
      <c r="J86" s="92">
        <f>IFERROR(__xludf.DUMMYFUNCTION("""COMPUTED_VALUE"""),0.0)</f>
        <v>0</v>
      </c>
      <c r="K86" s="92">
        <f>IFERROR(__xludf.DUMMYFUNCTION("""COMPUTED_VALUE"""),0.0)</f>
        <v>0</v>
      </c>
      <c r="L86" s="92">
        <f>IFERROR(__xludf.DUMMYFUNCTION("""COMPUTED_VALUE"""),0.0)</f>
        <v>0</v>
      </c>
      <c r="M86" s="92">
        <f>IFERROR(__xludf.DUMMYFUNCTION("""COMPUTED_VALUE"""),0.0)</f>
        <v>0</v>
      </c>
      <c r="N86" s="92">
        <f>IFERROR(__xludf.DUMMYFUNCTION("""COMPUTED_VALUE"""),0.0)</f>
        <v>0</v>
      </c>
      <c r="O86" s="52">
        <f>IFERROR(__xludf.DUMMYFUNCTION("""COMPUTED_VALUE"""),0.0)</f>
        <v>0</v>
      </c>
      <c r="P86" s="53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92">
        <f>IFERROR(__xludf.DUMMYFUNCTION("""COMPUTED_VALUE"""),0.0)</f>
        <v>0</v>
      </c>
      <c r="C87" s="92">
        <f>IFERROR(__xludf.DUMMYFUNCTION("""COMPUTED_VALUE"""),0.0)</f>
        <v>0</v>
      </c>
      <c r="D87" s="92">
        <f>IFERROR(__xludf.DUMMYFUNCTION("""COMPUTED_VALUE"""),0.0)</f>
        <v>0</v>
      </c>
      <c r="E87" s="92">
        <f>IFERROR(__xludf.DUMMYFUNCTION("""COMPUTED_VALUE"""),0.0)</f>
        <v>0</v>
      </c>
      <c r="F87" s="92">
        <f>IFERROR(__xludf.DUMMYFUNCTION("""COMPUTED_VALUE"""),0.0)</f>
        <v>0</v>
      </c>
      <c r="G87" s="92">
        <f>IFERROR(__xludf.DUMMYFUNCTION("""COMPUTED_VALUE"""),0.0)</f>
        <v>0</v>
      </c>
      <c r="H87" s="24"/>
      <c r="I87" s="92">
        <f>IFERROR(__xludf.DUMMYFUNCTION("""COMPUTED_VALUE"""),0.0)</f>
        <v>0</v>
      </c>
      <c r="J87" s="92">
        <f>IFERROR(__xludf.DUMMYFUNCTION("""COMPUTED_VALUE"""),0.0)</f>
        <v>0</v>
      </c>
      <c r="K87" s="92">
        <f>IFERROR(__xludf.DUMMYFUNCTION("""COMPUTED_VALUE"""),0.0)</f>
        <v>0</v>
      </c>
      <c r="L87" s="92">
        <f>IFERROR(__xludf.DUMMYFUNCTION("""COMPUTED_VALUE"""),0.0)</f>
        <v>0</v>
      </c>
      <c r="M87" s="92">
        <f>IFERROR(__xludf.DUMMYFUNCTION("""COMPUTED_VALUE"""),0.0)</f>
        <v>0</v>
      </c>
      <c r="N87" s="92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92">
        <f>IFERROR(__xludf.DUMMYFUNCTION("""COMPUTED_VALUE"""),34078.0)</f>
        <v>34078</v>
      </c>
      <c r="C88" s="92">
        <f>IFERROR(__xludf.DUMMYFUNCTION("""COMPUTED_VALUE"""),34956.0)</f>
        <v>34956</v>
      </c>
      <c r="D88" s="92">
        <f>IFERROR(__xludf.DUMMYFUNCTION("""COMPUTED_VALUE"""),693000.0)</f>
        <v>693000</v>
      </c>
      <c r="E88" s="92">
        <f>IFERROR(__xludf.DUMMYFUNCTION("""COMPUTED_VALUE"""),33000.0)</f>
        <v>33000</v>
      </c>
      <c r="F88" s="92">
        <f>IFERROR(__xludf.DUMMYFUNCTION("""COMPUTED_VALUE"""),33000.0)</f>
        <v>33000</v>
      </c>
      <c r="G88" s="92">
        <f>IFERROR(__xludf.DUMMYFUNCTION("""COMPUTED_VALUE"""),33000.0)</f>
        <v>33000</v>
      </c>
      <c r="H88" s="24"/>
      <c r="I88" s="92">
        <f>IFERROR(__xludf.DUMMYFUNCTION("""COMPUTED_VALUE"""),33000.0)</f>
        <v>33000</v>
      </c>
      <c r="J88" s="92">
        <f>IFERROR(__xludf.DUMMYFUNCTION("""COMPUTED_VALUE"""),33000.0)</f>
        <v>33000</v>
      </c>
      <c r="K88" s="92">
        <f>IFERROR(__xludf.DUMMYFUNCTION("""COMPUTED_VALUE"""),0.0)</f>
        <v>0</v>
      </c>
      <c r="L88" s="92">
        <f>IFERROR(__xludf.DUMMYFUNCTION("""COMPUTED_VALUE"""),0.0)</f>
        <v>0</v>
      </c>
      <c r="M88" s="92">
        <f>IFERROR(__xludf.DUMMYFUNCTION("""COMPUTED_VALUE"""),0.0)</f>
        <v>0</v>
      </c>
      <c r="N88" s="92">
        <f>IFERROR(__xludf.DUMMYFUNCTION("""COMPUTED_VALUE"""),0.0)</f>
        <v>0</v>
      </c>
      <c r="O88" s="52">
        <f>IFERROR(__xludf.DUMMYFUNCTION("""COMPUTED_VALUE"""),927034.0)</f>
        <v>927034</v>
      </c>
      <c r="P88" s="53">
        <f>IFERROR(__xludf.DUMMYFUNCTION("""COMPUTED_VALUE"""),0.2824661959475662)</f>
        <v>0.2824661959</v>
      </c>
      <c r="Q88" s="16"/>
    </row>
    <row r="89" ht="15.75" customHeight="1">
      <c r="A89" s="48" t="str">
        <f>IFERROR(__xludf.DUMMYFUNCTION("""COMPUTED_VALUE"""),"外注費")</f>
        <v>外注費</v>
      </c>
      <c r="B89" s="91">
        <f>IFERROR(__xludf.DUMMYFUNCTION("""COMPUTED_VALUE"""),1056632.0)</f>
        <v>1056632</v>
      </c>
      <c r="C89" s="91">
        <f>IFERROR(__xludf.DUMMYFUNCTION("""COMPUTED_VALUE"""),1055288.0)</f>
        <v>1055288</v>
      </c>
      <c r="D89" s="91">
        <f>IFERROR(__xludf.DUMMYFUNCTION("""COMPUTED_VALUE"""),1058464.0)</f>
        <v>1058464</v>
      </c>
      <c r="E89" s="91">
        <f>IFERROR(__xludf.DUMMYFUNCTION("""COMPUTED_VALUE"""),1405020.0)</f>
        <v>1405020</v>
      </c>
      <c r="F89" s="91">
        <f>IFERROR(__xludf.DUMMYFUNCTION("""COMPUTED_VALUE"""),1060052.0)</f>
        <v>1060052</v>
      </c>
      <c r="G89" s="91">
        <f>IFERROR(__xludf.DUMMYFUNCTION("""COMPUTED_VALUE"""),1058842.0)</f>
        <v>1058842</v>
      </c>
      <c r="H89" s="24"/>
      <c r="I89" s="91">
        <f>IFERROR(__xludf.DUMMYFUNCTION("""COMPUTED_VALUE"""),1073132.0)</f>
        <v>1073132</v>
      </c>
      <c r="J89" s="91">
        <f>IFERROR(__xludf.DUMMYFUNCTION("""COMPUTED_VALUE"""),797888.0)</f>
        <v>797888</v>
      </c>
      <c r="K89" s="91">
        <f>IFERROR(__xludf.DUMMYFUNCTION("""COMPUTED_VALUE"""),0.0)</f>
        <v>0</v>
      </c>
      <c r="L89" s="91">
        <f>IFERROR(__xludf.DUMMYFUNCTION("""COMPUTED_VALUE"""),0.0)</f>
        <v>0</v>
      </c>
      <c r="M89" s="91">
        <f>IFERROR(__xludf.DUMMYFUNCTION("""COMPUTED_VALUE"""),0.0)</f>
        <v>0</v>
      </c>
      <c r="N89" s="91">
        <f>IFERROR(__xludf.DUMMYFUNCTION("""COMPUTED_VALUE"""),0.0)</f>
        <v>0</v>
      </c>
      <c r="O89" s="46">
        <f>IFERROR(__xludf.DUMMYFUNCTION("""COMPUTED_VALUE"""),8565318.0)</f>
        <v>8565318</v>
      </c>
      <c r="P89" s="47">
        <f>IFERROR(__xludf.DUMMYFUNCTION("""COMPUTED_VALUE"""),0.03720982726082415)</f>
        <v>0.03720982726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92">
        <f>IFERROR(__xludf.DUMMYFUNCTION("""COMPUTED_VALUE"""),0.0)</f>
        <v>0</v>
      </c>
      <c r="C90" s="92">
        <f>IFERROR(__xludf.DUMMYFUNCTION("""COMPUTED_VALUE"""),0.0)</f>
        <v>0</v>
      </c>
      <c r="D90" s="92">
        <f>IFERROR(__xludf.DUMMYFUNCTION("""COMPUTED_VALUE"""),0.0)</f>
        <v>0</v>
      </c>
      <c r="E90" s="92">
        <f>IFERROR(__xludf.DUMMYFUNCTION("""COMPUTED_VALUE"""),0.0)</f>
        <v>0</v>
      </c>
      <c r="F90" s="92">
        <f>IFERROR(__xludf.DUMMYFUNCTION("""COMPUTED_VALUE"""),0.0)</f>
        <v>0</v>
      </c>
      <c r="G90" s="92">
        <f>IFERROR(__xludf.DUMMYFUNCTION("""COMPUTED_VALUE"""),0.0)</f>
        <v>0</v>
      </c>
      <c r="H90" s="24"/>
      <c r="I90" s="92">
        <f>IFERROR(__xludf.DUMMYFUNCTION("""COMPUTED_VALUE"""),0.0)</f>
        <v>0</v>
      </c>
      <c r="J90" s="92">
        <f>IFERROR(__xludf.DUMMYFUNCTION("""COMPUTED_VALUE"""),0.0)</f>
        <v>0</v>
      </c>
      <c r="K90" s="92">
        <f>IFERROR(__xludf.DUMMYFUNCTION("""COMPUTED_VALUE"""),0.0)</f>
        <v>0</v>
      </c>
      <c r="L90" s="92">
        <f>IFERROR(__xludf.DUMMYFUNCTION("""COMPUTED_VALUE"""),0.0)</f>
        <v>0</v>
      </c>
      <c r="M90" s="92">
        <f>IFERROR(__xludf.DUMMYFUNCTION("""COMPUTED_VALUE"""),0.0)</f>
        <v>0</v>
      </c>
      <c r="N90" s="92">
        <f>IFERROR(__xludf.DUMMYFUNCTION("""COMPUTED_VALUE"""),0.0)</f>
        <v>0</v>
      </c>
      <c r="O90" s="52">
        <f>IFERROR(__xludf.DUMMYFUNCTION("""COMPUTED_VALUE"""),0.0)</f>
        <v>0</v>
      </c>
      <c r="P90" s="53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92">
        <f>IFERROR(__xludf.DUMMYFUNCTION("""COMPUTED_VALUE"""),1056632.0)</f>
        <v>1056632</v>
      </c>
      <c r="C91" s="92">
        <f>IFERROR(__xludf.DUMMYFUNCTION("""COMPUTED_VALUE"""),1055288.0)</f>
        <v>1055288</v>
      </c>
      <c r="D91" s="92">
        <f>IFERROR(__xludf.DUMMYFUNCTION("""COMPUTED_VALUE"""),1058464.0)</f>
        <v>1058464</v>
      </c>
      <c r="E91" s="92">
        <f>IFERROR(__xludf.DUMMYFUNCTION("""COMPUTED_VALUE"""),1405020.0)</f>
        <v>1405020</v>
      </c>
      <c r="F91" s="92">
        <f>IFERROR(__xludf.DUMMYFUNCTION("""COMPUTED_VALUE"""),1060052.0)</f>
        <v>1060052</v>
      </c>
      <c r="G91" s="92">
        <f>IFERROR(__xludf.DUMMYFUNCTION("""COMPUTED_VALUE"""),1058842.0)</f>
        <v>1058842</v>
      </c>
      <c r="H91" s="24"/>
      <c r="I91" s="92">
        <f>IFERROR(__xludf.DUMMYFUNCTION("""COMPUTED_VALUE"""),1073132.0)</f>
        <v>1073132</v>
      </c>
      <c r="J91" s="92">
        <f>IFERROR(__xludf.DUMMYFUNCTION("""COMPUTED_VALUE"""),797888.0)</f>
        <v>797888</v>
      </c>
      <c r="K91" s="92">
        <f>IFERROR(__xludf.DUMMYFUNCTION("""COMPUTED_VALUE"""),0.0)</f>
        <v>0</v>
      </c>
      <c r="L91" s="92">
        <f>IFERROR(__xludf.DUMMYFUNCTION("""COMPUTED_VALUE"""),0.0)</f>
        <v>0</v>
      </c>
      <c r="M91" s="92">
        <f>IFERROR(__xludf.DUMMYFUNCTION("""COMPUTED_VALUE"""),0.0)</f>
        <v>0</v>
      </c>
      <c r="N91" s="92">
        <f>IFERROR(__xludf.DUMMYFUNCTION("""COMPUTED_VALUE"""),0.0)</f>
        <v>0</v>
      </c>
      <c r="O91" s="52">
        <f>IFERROR(__xludf.DUMMYFUNCTION("""COMPUTED_VALUE"""),8565318.0)</f>
        <v>8565318</v>
      </c>
      <c r="P91" s="53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91">
        <f>IFERROR(__xludf.DUMMYFUNCTION("""COMPUTED_VALUE"""),0.0)</f>
        <v>0</v>
      </c>
      <c r="C92" s="91">
        <f>IFERROR(__xludf.DUMMYFUNCTION("""COMPUTED_VALUE"""),0.0)</f>
        <v>0</v>
      </c>
      <c r="D92" s="91">
        <f>IFERROR(__xludf.DUMMYFUNCTION("""COMPUTED_VALUE"""),0.0)</f>
        <v>0</v>
      </c>
      <c r="E92" s="91">
        <f>IFERROR(__xludf.DUMMYFUNCTION("""COMPUTED_VALUE"""),0.0)</f>
        <v>0</v>
      </c>
      <c r="F92" s="91">
        <f>IFERROR(__xludf.DUMMYFUNCTION("""COMPUTED_VALUE"""),0.0)</f>
        <v>0</v>
      </c>
      <c r="G92" s="91">
        <f>IFERROR(__xludf.DUMMYFUNCTION("""COMPUTED_VALUE"""),0.0)</f>
        <v>0</v>
      </c>
      <c r="H92" s="24"/>
      <c r="I92" s="91">
        <f>IFERROR(__xludf.DUMMYFUNCTION("""COMPUTED_VALUE"""),0.0)</f>
        <v>0</v>
      </c>
      <c r="J92" s="91">
        <f>IFERROR(__xludf.DUMMYFUNCTION("""COMPUTED_VALUE"""),0.0)</f>
        <v>0</v>
      </c>
      <c r="K92" s="91">
        <f>IFERROR(__xludf.DUMMYFUNCTION("""COMPUTED_VALUE"""),0.0)</f>
        <v>0</v>
      </c>
      <c r="L92" s="91">
        <f>IFERROR(__xludf.DUMMYFUNCTION("""COMPUTED_VALUE"""),0.0)</f>
        <v>0</v>
      </c>
      <c r="M92" s="91">
        <f>IFERROR(__xludf.DUMMYFUNCTION("""COMPUTED_VALUE"""),0.0)</f>
        <v>0</v>
      </c>
      <c r="N92" s="91">
        <f>IFERROR(__xludf.DUMMYFUNCTION("""COMPUTED_VALUE"""),0.0)</f>
        <v>0</v>
      </c>
      <c r="O92" s="46">
        <f>IFERROR(__xludf.DUMMYFUNCTION("""COMPUTED_VALUE"""),0.0)</f>
        <v>0</v>
      </c>
      <c r="P92" s="47">
        <f>IFERROR(__xludf.DUMMYFUNCTION("""COMPUTED_VALUE"""),0.0)</f>
        <v>0</v>
      </c>
      <c r="Q92" s="16"/>
    </row>
    <row r="93" ht="15.75" customHeight="1">
      <c r="A93" s="48" t="str">
        <f>IFERROR(__xludf.DUMMYFUNCTION("""COMPUTED_VALUE"""),"販売促進費")</f>
        <v>販売促進費</v>
      </c>
      <c r="B93" s="91">
        <f>IFERROR(__xludf.DUMMYFUNCTION("""COMPUTED_VALUE"""),878000.0)</f>
        <v>878000</v>
      </c>
      <c r="C93" s="91">
        <f>IFERROR(__xludf.DUMMYFUNCTION("""COMPUTED_VALUE"""),394800.0)</f>
        <v>394800</v>
      </c>
      <c r="D93" s="91">
        <f>IFERROR(__xludf.DUMMYFUNCTION("""COMPUTED_VALUE"""),358400.0)</f>
        <v>358400</v>
      </c>
      <c r="E93" s="91">
        <f>IFERROR(__xludf.DUMMYFUNCTION("""COMPUTED_VALUE"""),0.0)</f>
        <v>0</v>
      </c>
      <c r="F93" s="91">
        <f>IFERROR(__xludf.DUMMYFUNCTION("""COMPUTED_VALUE"""),140000.0)</f>
        <v>140000</v>
      </c>
      <c r="G93" s="91">
        <f>IFERROR(__xludf.DUMMYFUNCTION("""COMPUTED_VALUE"""),215500.0)</f>
        <v>215500</v>
      </c>
      <c r="H93" s="24"/>
      <c r="I93" s="91">
        <f>IFERROR(__xludf.DUMMYFUNCTION("""COMPUTED_VALUE"""),107000.0)</f>
        <v>107000</v>
      </c>
      <c r="J93" s="91">
        <f>IFERROR(__xludf.DUMMYFUNCTION("""COMPUTED_VALUE"""),71000.0)</f>
        <v>71000</v>
      </c>
      <c r="K93" s="91">
        <f>IFERROR(__xludf.DUMMYFUNCTION("""COMPUTED_VALUE"""),0.0)</f>
        <v>0</v>
      </c>
      <c r="L93" s="91">
        <f>IFERROR(__xludf.DUMMYFUNCTION("""COMPUTED_VALUE"""),0.0)</f>
        <v>0</v>
      </c>
      <c r="M93" s="91">
        <f>IFERROR(__xludf.DUMMYFUNCTION("""COMPUTED_VALUE"""),0.0)</f>
        <v>0</v>
      </c>
      <c r="N93" s="91">
        <f>IFERROR(__xludf.DUMMYFUNCTION("""COMPUTED_VALUE"""),0.0)</f>
        <v>0</v>
      </c>
      <c r="O93" s="46">
        <f>IFERROR(__xludf.DUMMYFUNCTION("""COMPUTED_VALUE"""),2164700.0)</f>
        <v>2164700</v>
      </c>
      <c r="P93" s="47">
        <f>IFERROR(__xludf.DUMMYFUNCTION("""COMPUTED_VALUE"""),0.00940398395850639)</f>
        <v>0.009403983959</v>
      </c>
      <c r="Q93" s="16"/>
    </row>
    <row r="94" ht="15.75" customHeight="1">
      <c r="A94" s="48" t="str">
        <f>IFERROR(__xludf.DUMMYFUNCTION("""COMPUTED_VALUE"""),"減価償却費")</f>
        <v>減価償却費</v>
      </c>
      <c r="B94" s="91">
        <f>IFERROR(__xludf.DUMMYFUNCTION("""COMPUTED_VALUE"""),0.0)</f>
        <v>0</v>
      </c>
      <c r="C94" s="91">
        <f>IFERROR(__xludf.DUMMYFUNCTION("""COMPUTED_VALUE"""),0.0)</f>
        <v>0</v>
      </c>
      <c r="D94" s="91">
        <f>IFERROR(__xludf.DUMMYFUNCTION("""COMPUTED_VALUE"""),0.0)</f>
        <v>0</v>
      </c>
      <c r="E94" s="91">
        <f>IFERROR(__xludf.DUMMYFUNCTION("""COMPUTED_VALUE"""),0.0)</f>
        <v>0</v>
      </c>
      <c r="F94" s="91">
        <f>IFERROR(__xludf.DUMMYFUNCTION("""COMPUTED_VALUE"""),0.0)</f>
        <v>0</v>
      </c>
      <c r="G94" s="91">
        <f>IFERROR(__xludf.DUMMYFUNCTION("""COMPUTED_VALUE"""),0.0)</f>
        <v>0</v>
      </c>
      <c r="H94" s="24"/>
      <c r="I94" s="91">
        <f>IFERROR(__xludf.DUMMYFUNCTION("""COMPUTED_VALUE"""),0.0)</f>
        <v>0</v>
      </c>
      <c r="J94" s="91">
        <f>IFERROR(__xludf.DUMMYFUNCTION("""COMPUTED_VALUE"""),0.0)</f>
        <v>0</v>
      </c>
      <c r="K94" s="91">
        <f>IFERROR(__xludf.DUMMYFUNCTION("""COMPUTED_VALUE"""),0.0)</f>
        <v>0</v>
      </c>
      <c r="L94" s="91">
        <f>IFERROR(__xludf.DUMMYFUNCTION("""COMPUTED_VALUE"""),0.0)</f>
        <v>0</v>
      </c>
      <c r="M94" s="91">
        <f>IFERROR(__xludf.DUMMYFUNCTION("""COMPUTED_VALUE"""),0.0)</f>
        <v>0</v>
      </c>
      <c r="N94" s="91">
        <f>IFERROR(__xludf.DUMMYFUNCTION("""COMPUTED_VALUE"""),0.0)</f>
        <v>0</v>
      </c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>
        <f>IFERROR(__xludf.DUMMYFUNCTION("""COMPUTED_VALUE"""),0.0)</f>
        <v>0</v>
      </c>
      <c r="P95" s="47">
        <f>IFERROR(__xludf.DUMMYFUNCTION("""COMPUTED_VALUE"""),0.0)</f>
        <v>0</v>
      </c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 t="str">
        <f>IFERROR(__xludf.DUMMYFUNCTION("""COMPUTED_VALUE"""),"")</f>
        <v/>
      </c>
      <c r="C96" s="56" t="str">
        <f>IFERROR(__xludf.DUMMYFUNCTION("""COMPUTED_VALUE"""),"")</f>
        <v/>
      </c>
      <c r="D96" s="56">
        <f>IFERROR(__xludf.DUMMYFUNCTION("""COMPUTED_VALUE"""),351.47381818181816)</f>
        <v>351.4738182</v>
      </c>
      <c r="E96" s="56" t="str">
        <f>IFERROR(__xludf.DUMMYFUNCTION("""COMPUTED_VALUE"""),"")</f>
        <v/>
      </c>
      <c r="F96" s="56" t="str">
        <f>IFERROR(__xludf.DUMMYFUNCTION("""COMPUTED_VALUE"""),"")</f>
        <v/>
      </c>
      <c r="G96" s="56" t="str">
        <f>IFERROR(__xludf.DUMMYFUNCTION("""COMPUTED_VALUE"""),"")</f>
        <v/>
      </c>
      <c r="H96" s="24"/>
      <c r="I96" s="56" t="str">
        <f>IFERROR(__xludf.DUMMYFUNCTION("""COMPUTED_VALUE"""),"")</f>
        <v/>
      </c>
      <c r="J96" s="56" t="str">
        <f>IFERROR(__xludf.DUMMYFUNCTION("""COMPUTED_VALUE"""),"")</f>
        <v/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IFERROR(__xludf.DUMMYFUNCTION("""COMPUTED_VALUE"""),2797.7945454545456)</f>
        <v>2797.794545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 t="str">
        <f>IFERROR(__xludf.DUMMYFUNCTION("""COMPUTED_VALUE"""),"")</f>
        <v/>
      </c>
      <c r="C97" s="56" t="str">
        <f>IFERROR(__xludf.DUMMYFUNCTION("""COMPUTED_VALUE"""),"")</f>
        <v/>
      </c>
      <c r="D97" s="56">
        <f>IFERROR(__xludf.DUMMYFUNCTION("""COMPUTED_VALUE"""),1032.859)</f>
        <v>1032.859</v>
      </c>
      <c r="E97" s="56" t="str">
        <f>IFERROR(__xludf.DUMMYFUNCTION("""COMPUTED_VALUE"""),"")</f>
        <v/>
      </c>
      <c r="F97" s="56" t="str">
        <f>IFERROR(__xludf.DUMMYFUNCTION("""COMPUTED_VALUE"""),"")</f>
        <v/>
      </c>
      <c r="G97" s="56" t="str">
        <f>IFERROR(__xludf.DUMMYFUNCTION("""COMPUTED_VALUE"""),"")</f>
        <v/>
      </c>
      <c r="H97" s="24"/>
      <c r="I97" s="56" t="str">
        <f>IFERROR(__xludf.DUMMYFUNCTION("""COMPUTED_VALUE"""),"")</f>
        <v/>
      </c>
      <c r="J97" s="56" t="str">
        <f>IFERROR(__xludf.DUMMYFUNCTION("""COMPUTED_VALUE"""),"")</f>
        <v/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 t="str">
        <f>IFERROR(__xludf.DUMMYFUNCTION("""COMPUTED_VALUE"""),"")</f>
        <v/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91">
        <f>IFERROR(__xludf.DUMMYFUNCTION("""COMPUTED_VALUE"""),-2016031.8181818184)</f>
        <v>-2016031.818</v>
      </c>
      <c r="C98" s="91">
        <f>IFERROR(__xludf.DUMMYFUNCTION("""COMPUTED_VALUE"""),-1611812.7272727275)</f>
        <v>-1611812.727</v>
      </c>
      <c r="D98" s="91">
        <f>IFERROR(__xludf.DUMMYFUNCTION("""COMPUTED_VALUE"""),-1347880.9090909092)</f>
        <v>-1347880.909</v>
      </c>
      <c r="E98" s="91">
        <f>IFERROR(__xludf.DUMMYFUNCTION("""COMPUTED_VALUE"""),-1140032.1818181819)</f>
        <v>-1140032.182</v>
      </c>
      <c r="F98" s="91">
        <f>IFERROR(__xludf.DUMMYFUNCTION("""COMPUTED_VALUE"""),-1184453.4545454546)</f>
        <v>-1184453.455</v>
      </c>
      <c r="G98" s="91">
        <f>IFERROR(__xludf.DUMMYFUNCTION("""COMPUTED_VALUE"""),-1198698.5454545454)</f>
        <v>-1198698.545</v>
      </c>
      <c r="H98" s="24"/>
      <c r="I98" s="91">
        <f>IFERROR(__xludf.DUMMYFUNCTION("""COMPUTED_VALUE"""),-1322498.3636363638)</f>
        <v>-1322498.364</v>
      </c>
      <c r="J98" s="91">
        <f>IFERROR(__xludf.DUMMYFUNCTION("""COMPUTED_VALUE"""),-1380395.1818181816)</f>
        <v>-1380395.182</v>
      </c>
      <c r="K98" s="91">
        <f>IFERROR(__xludf.DUMMYFUNCTION("""COMPUTED_VALUE"""),0.0)</f>
        <v>0</v>
      </c>
      <c r="L98" s="91">
        <f>IFERROR(__xludf.DUMMYFUNCTION("""COMPUTED_VALUE"""),0.0)</f>
        <v>0</v>
      </c>
      <c r="M98" s="91">
        <f>IFERROR(__xludf.DUMMYFUNCTION("""COMPUTED_VALUE"""),0.0)</f>
        <v>0</v>
      </c>
      <c r="N98" s="91">
        <f>IFERROR(__xludf.DUMMYFUNCTION("""COMPUTED_VALUE"""),0.0)</f>
        <v>0</v>
      </c>
      <c r="O98" s="46">
        <f>IFERROR(__xludf.DUMMYFUNCTION("""COMPUTED_VALUE"""),-1.1201803181818182E7)</f>
        <v>-11201803.18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>
        <f>IFERROR(__xludf.DUMMYFUNCTION("""COMPUTED_VALUE"""),0.0)</f>
        <v>0</v>
      </c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IFERROR(__xludf.DUMMYFUNCTION("""COMPUTED_VALUE"""),-3.298746918181818E7)</f>
        <v>-32987469.18</v>
      </c>
      <c r="C100" s="44">
        <f>IFERROR(__xludf.DUMMYFUNCTION("""COMPUTED_VALUE"""),-3.2706391272727273E7)</f>
        <v>-32706391.27</v>
      </c>
      <c r="D100" s="44">
        <f>IFERROR(__xludf.DUMMYFUNCTION("""COMPUTED_VALUE"""),-2.535567009090909E7)</f>
        <v>-25355670.09</v>
      </c>
      <c r="E100" s="44">
        <f>IFERROR(__xludf.DUMMYFUNCTION("""COMPUTED_VALUE"""),-2.4533118818181816E7)</f>
        <v>-24533118.82</v>
      </c>
      <c r="F100" s="44">
        <f>IFERROR(__xludf.DUMMYFUNCTION("""COMPUTED_VALUE"""),-3.536199154545455E7)</f>
        <v>-35361991.55</v>
      </c>
      <c r="G100" s="44">
        <f>IFERROR(__xludf.DUMMYFUNCTION("""COMPUTED_VALUE"""),-2.4558090454545453E7)</f>
        <v>-24558090.45</v>
      </c>
      <c r="H100" s="24"/>
      <c r="I100" s="44">
        <f>IFERROR(__xludf.DUMMYFUNCTION("""COMPUTED_VALUE"""),-2.8132327636363637E7)</f>
        <v>-28132327.64</v>
      </c>
      <c r="J100" s="44">
        <f>IFERROR(__xludf.DUMMYFUNCTION("""COMPUTED_VALUE"""),-2.654361481818182E7)</f>
        <v>-26543614.82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IFERROR(__xludf.DUMMYFUNCTION("""COMPUTED_VALUE"""),-2.301786738181818E8)</f>
        <v>-230178673.8</v>
      </c>
      <c r="P100" s="45">
        <f>IFERROR(__xludf.DUMMYFUNCTION("""COMPUTED_VALUE"""),-20925.333983471075)</f>
        <v>-20925.33398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IFERROR(__xludf.DUMMYFUNCTION("""COMPUTED_VALUE"""),36400.0)</f>
        <v>36400</v>
      </c>
      <c r="F101" s="46">
        <f>IFERROR(__xludf.DUMMYFUNCTION("""COMPUTED_VALUE"""),15666.0)</f>
        <v>15666</v>
      </c>
      <c r="G101" s="46">
        <f>IFERROR(__xludf.DUMMYFUNCTION("""COMPUTED_VALUE"""),111.0)</f>
        <v>111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IFERROR(__xludf.DUMMYFUNCTION("""COMPUTED_VALUE"""),52177.0)</f>
        <v>52177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91">
        <f>IFERROR(__xludf.DUMMYFUNCTION("""COMPUTED_VALUE"""),0.0)</f>
        <v>0</v>
      </c>
      <c r="C102" s="91">
        <f>IFERROR(__xludf.DUMMYFUNCTION("""COMPUTED_VALUE"""),0.0)</f>
        <v>0</v>
      </c>
      <c r="D102" s="91">
        <f>IFERROR(__xludf.DUMMYFUNCTION("""COMPUTED_VALUE"""),0.0)</f>
        <v>0</v>
      </c>
      <c r="E102" s="91">
        <f>IFERROR(__xludf.DUMMYFUNCTION("""COMPUTED_VALUE"""),0.0)</f>
        <v>0</v>
      </c>
      <c r="F102" s="91">
        <f>IFERROR(__xludf.DUMMYFUNCTION("""COMPUTED_VALUE"""),2266.0)</f>
        <v>2266</v>
      </c>
      <c r="G102" s="91">
        <f>IFERROR(__xludf.DUMMYFUNCTION("""COMPUTED_VALUE"""),111.0)</f>
        <v>111</v>
      </c>
      <c r="H102" s="24"/>
      <c r="I102" s="91">
        <f>IFERROR(__xludf.DUMMYFUNCTION("""COMPUTED_VALUE"""),0.0)</f>
        <v>0</v>
      </c>
      <c r="J102" s="91">
        <f>IFERROR(__xludf.DUMMYFUNCTION("""COMPUTED_VALUE"""),0.0)</f>
        <v>0</v>
      </c>
      <c r="K102" s="91">
        <f>IFERROR(__xludf.DUMMYFUNCTION("""COMPUTED_VALUE"""),0.0)</f>
        <v>0</v>
      </c>
      <c r="L102" s="91">
        <f>IFERROR(__xludf.DUMMYFUNCTION("""COMPUTED_VALUE"""),0.0)</f>
        <v>0</v>
      </c>
      <c r="M102" s="91">
        <f>IFERROR(__xludf.DUMMYFUNCTION("""COMPUTED_VALUE"""),0.0)</f>
        <v>0</v>
      </c>
      <c r="N102" s="91">
        <f>IFERROR(__xludf.DUMMYFUNCTION("""COMPUTED_VALUE"""),0.0)</f>
        <v>0</v>
      </c>
      <c r="O102" s="52">
        <f>IFERROR(__xludf.DUMMYFUNCTION("""COMPUTED_VALUE"""),2377.0)</f>
        <v>2377</v>
      </c>
      <c r="P102" s="53">
        <f>IFERROR(__xludf.DUMMYFUNCTION("""COMPUTED_VALUE"""),0.045556471242118174)</f>
        <v>0.04555647124</v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91">
        <f>IFERROR(__xludf.DUMMYFUNCTION("""COMPUTED_VALUE"""),0.0)</f>
        <v>0</v>
      </c>
      <c r="C103" s="91">
        <f>IFERROR(__xludf.DUMMYFUNCTION("""COMPUTED_VALUE"""),0.0)</f>
        <v>0</v>
      </c>
      <c r="D103" s="91">
        <f>IFERROR(__xludf.DUMMYFUNCTION("""COMPUTED_VALUE"""),0.0)</f>
        <v>0</v>
      </c>
      <c r="E103" s="91">
        <f>IFERROR(__xludf.DUMMYFUNCTION("""COMPUTED_VALUE"""),0.0)</f>
        <v>0</v>
      </c>
      <c r="F103" s="91">
        <f>IFERROR(__xludf.DUMMYFUNCTION("""COMPUTED_VALUE"""),0.0)</f>
        <v>0</v>
      </c>
      <c r="G103" s="91">
        <f>IFERROR(__xludf.DUMMYFUNCTION("""COMPUTED_VALUE"""),0.0)</f>
        <v>0</v>
      </c>
      <c r="H103" s="24"/>
      <c r="I103" s="91">
        <f>IFERROR(__xludf.DUMMYFUNCTION("""COMPUTED_VALUE"""),0.0)</f>
        <v>0</v>
      </c>
      <c r="J103" s="91">
        <f>IFERROR(__xludf.DUMMYFUNCTION("""COMPUTED_VALUE"""),0.0)</f>
        <v>0</v>
      </c>
      <c r="K103" s="91">
        <f>IFERROR(__xludf.DUMMYFUNCTION("""COMPUTED_VALUE"""),0.0)</f>
        <v>0</v>
      </c>
      <c r="L103" s="91">
        <f>IFERROR(__xludf.DUMMYFUNCTION("""COMPUTED_VALUE"""),0.0)</f>
        <v>0</v>
      </c>
      <c r="M103" s="91">
        <f>IFERROR(__xludf.DUMMYFUNCTION("""COMPUTED_VALUE"""),0.0)</f>
        <v>0</v>
      </c>
      <c r="N103" s="91">
        <f>IFERROR(__xludf.DUMMYFUNCTION("""COMPUTED_VALUE"""),0.0)</f>
        <v>0</v>
      </c>
      <c r="O103" s="52">
        <f>IFERROR(__xludf.DUMMYFUNCTION("""COMPUTED_VALUE"""),0.0)</f>
        <v>0</v>
      </c>
      <c r="P103" s="53">
        <f>IFERROR(__xludf.DUMMYFUNCTION("""COMPUTED_VALUE"""),0.0)</f>
        <v>0</v>
      </c>
      <c r="Q103" s="16"/>
    </row>
    <row r="104" ht="15.75" customHeight="1">
      <c r="A104" s="51" t="str">
        <f>IFERROR(__xludf.DUMMYFUNCTION("""COMPUTED_VALUE"""),"雑収入")</f>
        <v>雑収入</v>
      </c>
      <c r="B104" s="91">
        <f>IFERROR(__xludf.DUMMYFUNCTION("""COMPUTED_VALUE"""),0.0)</f>
        <v>0</v>
      </c>
      <c r="C104" s="91">
        <f>IFERROR(__xludf.DUMMYFUNCTION("""COMPUTED_VALUE"""),0.0)</f>
        <v>0</v>
      </c>
      <c r="D104" s="91">
        <f>IFERROR(__xludf.DUMMYFUNCTION("""COMPUTED_VALUE"""),0.0)</f>
        <v>0</v>
      </c>
      <c r="E104" s="91">
        <f>IFERROR(__xludf.DUMMYFUNCTION("""COMPUTED_VALUE"""),36400.0)</f>
        <v>36400</v>
      </c>
      <c r="F104" s="91">
        <f>IFERROR(__xludf.DUMMYFUNCTION("""COMPUTED_VALUE"""),13400.0)</f>
        <v>13400</v>
      </c>
      <c r="G104" s="91">
        <f>IFERROR(__xludf.DUMMYFUNCTION("""COMPUTED_VALUE"""),0.0)</f>
        <v>0</v>
      </c>
      <c r="H104" s="24"/>
      <c r="I104" s="91">
        <f>IFERROR(__xludf.DUMMYFUNCTION("""COMPUTED_VALUE"""),0.0)</f>
        <v>0</v>
      </c>
      <c r="J104" s="91">
        <f>IFERROR(__xludf.DUMMYFUNCTION("""COMPUTED_VALUE"""),0.0)</f>
        <v>0</v>
      </c>
      <c r="K104" s="91">
        <f>IFERROR(__xludf.DUMMYFUNCTION("""COMPUTED_VALUE"""),0.0)</f>
        <v>0</v>
      </c>
      <c r="L104" s="91">
        <f>IFERROR(__xludf.DUMMYFUNCTION("""COMPUTED_VALUE"""),0.0)</f>
        <v>0</v>
      </c>
      <c r="M104" s="91">
        <f>IFERROR(__xludf.DUMMYFUNCTION("""COMPUTED_VALUE"""),0.0)</f>
        <v>0</v>
      </c>
      <c r="N104" s="91">
        <f>IFERROR(__xludf.DUMMYFUNCTION("""COMPUTED_VALUE"""),0.0)</f>
        <v>0</v>
      </c>
      <c r="O104" s="52">
        <f>IFERROR(__xludf.DUMMYFUNCTION("""COMPUTED_VALUE"""),49800.0)</f>
        <v>49800</v>
      </c>
      <c r="P104" s="53">
        <f>IFERROR(__xludf.DUMMYFUNCTION("""COMPUTED_VALUE"""),0.9544435287578819)</f>
        <v>0.9544435288</v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IFERROR(__xludf.DUMMYFUNCTION("""COMPUTED_VALUE"""),22294.0)</f>
        <v>22294</v>
      </c>
      <c r="C105" s="46">
        <f>IFERROR(__xludf.DUMMYFUNCTION("""COMPUTED_VALUE"""),21035.0)</f>
        <v>21035</v>
      </c>
      <c r="D105" s="46">
        <f>IFERROR(__xludf.DUMMYFUNCTION("""COMPUTED_VALUE"""),21179.0)</f>
        <v>21179</v>
      </c>
      <c r="E105" s="46">
        <f>IFERROR(__xludf.DUMMYFUNCTION("""COMPUTED_VALUE"""),19957.0)</f>
        <v>19957</v>
      </c>
      <c r="F105" s="46">
        <f>IFERROR(__xludf.DUMMYFUNCTION("""COMPUTED_VALUE"""),20065.0)</f>
        <v>20065</v>
      </c>
      <c r="G105" s="46">
        <f>IFERROR(__xludf.DUMMYFUNCTION("""COMPUTED_VALUE"""),20607.0)</f>
        <v>20607</v>
      </c>
      <c r="H105" s="24"/>
      <c r="I105" s="46">
        <f>IFERROR(__xludf.DUMMYFUNCTION("""COMPUTED_VALUE"""),18339.0)</f>
        <v>18339</v>
      </c>
      <c r="J105" s="46">
        <f>IFERROR(__xludf.DUMMYFUNCTION("""COMPUTED_VALUE"""),18392.0)</f>
        <v>18392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IFERROR(__xludf.DUMMYFUNCTION("""COMPUTED_VALUE"""),161868.0)</f>
        <v>161868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91">
        <f>IFERROR(__xludf.DUMMYFUNCTION("""COMPUTED_VALUE"""),22294.0)</f>
        <v>22294</v>
      </c>
      <c r="C106" s="91">
        <f>IFERROR(__xludf.DUMMYFUNCTION("""COMPUTED_VALUE"""),21035.0)</f>
        <v>21035</v>
      </c>
      <c r="D106" s="91">
        <f>IFERROR(__xludf.DUMMYFUNCTION("""COMPUTED_VALUE"""),21179.0)</f>
        <v>21179</v>
      </c>
      <c r="E106" s="91">
        <f>IFERROR(__xludf.DUMMYFUNCTION("""COMPUTED_VALUE"""),19957.0)</f>
        <v>19957</v>
      </c>
      <c r="F106" s="91">
        <f>IFERROR(__xludf.DUMMYFUNCTION("""COMPUTED_VALUE"""),20065.0)</f>
        <v>20065</v>
      </c>
      <c r="G106" s="91">
        <f>IFERROR(__xludf.DUMMYFUNCTION("""COMPUTED_VALUE"""),19507.0)</f>
        <v>19507</v>
      </c>
      <c r="H106" s="24"/>
      <c r="I106" s="91">
        <f>IFERROR(__xludf.DUMMYFUNCTION("""COMPUTED_VALUE"""),18339.0)</f>
        <v>18339</v>
      </c>
      <c r="J106" s="91">
        <f>IFERROR(__xludf.DUMMYFUNCTION("""COMPUTED_VALUE"""),18392.0)</f>
        <v>18392</v>
      </c>
      <c r="K106" s="91">
        <f>IFERROR(__xludf.DUMMYFUNCTION("""COMPUTED_VALUE"""),0.0)</f>
        <v>0</v>
      </c>
      <c r="L106" s="91">
        <f>IFERROR(__xludf.DUMMYFUNCTION("""COMPUTED_VALUE"""),0.0)</f>
        <v>0</v>
      </c>
      <c r="M106" s="91">
        <f>IFERROR(__xludf.DUMMYFUNCTION("""COMPUTED_VALUE"""),0.0)</f>
        <v>0</v>
      </c>
      <c r="N106" s="91">
        <f>IFERROR(__xludf.DUMMYFUNCTION("""COMPUTED_VALUE"""),0.0)</f>
        <v>0</v>
      </c>
      <c r="O106" s="52">
        <f>IFERROR(__xludf.DUMMYFUNCTION("""COMPUTED_VALUE"""),160768.0)</f>
        <v>160768</v>
      </c>
      <c r="P106" s="53">
        <f>IFERROR(__xludf.DUMMYFUNCTION("""COMPUTED_VALUE"""),0.9932043393382262)</f>
        <v>0.9932043393</v>
      </c>
      <c r="Q106" s="16"/>
    </row>
    <row r="107" ht="15.75" customHeight="1">
      <c r="A107" s="51" t="str">
        <f>IFERROR(__xludf.DUMMYFUNCTION("""COMPUTED_VALUE"""),"雑損失")</f>
        <v>雑損失</v>
      </c>
      <c r="B107" s="91">
        <f>IFERROR(__xludf.DUMMYFUNCTION("""COMPUTED_VALUE"""),0.0)</f>
        <v>0</v>
      </c>
      <c r="C107" s="91">
        <f>IFERROR(__xludf.DUMMYFUNCTION("""COMPUTED_VALUE"""),0.0)</f>
        <v>0</v>
      </c>
      <c r="D107" s="91">
        <f>IFERROR(__xludf.DUMMYFUNCTION("""COMPUTED_VALUE"""),0.0)</f>
        <v>0</v>
      </c>
      <c r="E107" s="91">
        <f>IFERROR(__xludf.DUMMYFUNCTION("""COMPUTED_VALUE"""),0.0)</f>
        <v>0</v>
      </c>
      <c r="F107" s="91">
        <f>IFERROR(__xludf.DUMMYFUNCTION("""COMPUTED_VALUE"""),0.0)</f>
        <v>0</v>
      </c>
      <c r="G107" s="91">
        <f>IFERROR(__xludf.DUMMYFUNCTION("""COMPUTED_VALUE"""),1100.0)</f>
        <v>1100</v>
      </c>
      <c r="H107" s="24"/>
      <c r="I107" s="91">
        <f>IFERROR(__xludf.DUMMYFUNCTION("""COMPUTED_VALUE"""),0.0)</f>
        <v>0</v>
      </c>
      <c r="J107" s="91">
        <f>IFERROR(__xludf.DUMMYFUNCTION("""COMPUTED_VALUE"""),0.0)</f>
        <v>0</v>
      </c>
      <c r="K107" s="91">
        <f>IFERROR(__xludf.DUMMYFUNCTION("""COMPUTED_VALUE"""),0.0)</f>
        <v>0</v>
      </c>
      <c r="L107" s="91">
        <f>IFERROR(__xludf.DUMMYFUNCTION("""COMPUTED_VALUE"""),0.0)</f>
        <v>0</v>
      </c>
      <c r="M107" s="91">
        <f>IFERROR(__xludf.DUMMYFUNCTION("""COMPUTED_VALUE"""),0.0)</f>
        <v>0</v>
      </c>
      <c r="N107" s="91">
        <f>IFERROR(__xludf.DUMMYFUNCTION("""COMPUTED_VALUE"""),0.0)</f>
        <v>0</v>
      </c>
      <c r="O107" s="52">
        <f>IFERROR(__xludf.DUMMYFUNCTION("""COMPUTED_VALUE"""),1100.0)</f>
        <v>1100</v>
      </c>
      <c r="P107" s="53">
        <f>IFERROR(__xludf.DUMMYFUNCTION("""COMPUTED_VALUE"""),0.006795660661773791)</f>
        <v>0.006795660662</v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IFERROR(__xludf.DUMMYFUNCTION("""COMPUTED_VALUE"""),-3.300976318181818E7)</f>
        <v>-33009763.18</v>
      </c>
      <c r="C108" s="44">
        <f>IFERROR(__xludf.DUMMYFUNCTION("""COMPUTED_VALUE"""),-3.2727426272727273E7)</f>
        <v>-32727426.27</v>
      </c>
      <c r="D108" s="44">
        <f>IFERROR(__xludf.DUMMYFUNCTION("""COMPUTED_VALUE"""),-2.537684909090909E7)</f>
        <v>-25376849.09</v>
      </c>
      <c r="E108" s="44">
        <f>IFERROR(__xludf.DUMMYFUNCTION("""COMPUTED_VALUE"""),-2.4516675818181816E7)</f>
        <v>-24516675.82</v>
      </c>
      <c r="F108" s="44">
        <f>IFERROR(__xludf.DUMMYFUNCTION("""COMPUTED_VALUE"""),-3.536639054545455E7)</f>
        <v>-35366390.55</v>
      </c>
      <c r="G108" s="44">
        <f>IFERROR(__xludf.DUMMYFUNCTION("""COMPUTED_VALUE"""),-2.4578586454545453E7)</f>
        <v>-24578586.45</v>
      </c>
      <c r="H108" s="24"/>
      <c r="I108" s="44">
        <f>IFERROR(__xludf.DUMMYFUNCTION("""COMPUTED_VALUE"""),-2.8150666636363637E7)</f>
        <v>-28150666.64</v>
      </c>
      <c r="J108" s="44">
        <f>IFERROR(__xludf.DUMMYFUNCTION("""COMPUTED_VALUE"""),-2.656200681818182E7)</f>
        <v>-26562006.82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IFERROR(__xludf.DUMMYFUNCTION("""COMPUTED_VALUE"""),-2.302883648181818E8)</f>
        <v>-230288364.8</v>
      </c>
      <c r="P108" s="45">
        <f>IFERROR(__xludf.DUMMYFUNCTION("""COMPUTED_VALUE"""),-20935.305892561984)</f>
        <v>-20935.30589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IFERROR(__xludf.DUMMYFUNCTION("""COMPUTED_VALUE"""),-1.3203905272727273E7)</f>
        <v>-13203905.27</v>
      </c>
      <c r="C109" s="46">
        <f>IFERROR(__xludf.DUMMYFUNCTION("""COMPUTED_VALUE"""),-1.309097050909091E7)</f>
        <v>-13090970.51</v>
      </c>
      <c r="D109" s="46">
        <f>IFERROR(__xludf.DUMMYFUNCTION("""COMPUTED_VALUE"""),-1.0150739636363637E7)</f>
        <v>-10150739.64</v>
      </c>
      <c r="E109" s="46">
        <f>IFERROR(__xludf.DUMMYFUNCTION("""COMPUTED_VALUE"""),-9806670.327272726)</f>
        <v>-9806670.327</v>
      </c>
      <c r="F109" s="46">
        <f>IFERROR(__xludf.DUMMYFUNCTION("""COMPUTED_VALUE"""),-1.4146556218181819E7)</f>
        <v>-14146556.22</v>
      </c>
      <c r="G109" s="46">
        <f>IFERROR(__xludf.DUMMYFUNCTION("""COMPUTED_VALUE"""),-9831434.581818182)</f>
        <v>-9831434.582</v>
      </c>
      <c r="H109" s="24"/>
      <c r="I109" s="46">
        <f>IFERROR(__xludf.DUMMYFUNCTION("""COMPUTED_VALUE"""),-1.1260266654545456E7)</f>
        <v>-11260266.65</v>
      </c>
      <c r="J109" s="46">
        <f>IFERROR(__xludf.DUMMYFUNCTION("""COMPUTED_VALUE"""),-1.0624802727272728E7)</f>
        <v>-10624802.73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IFERROR(__xludf.DUMMYFUNCTION("""COMPUTED_VALUE"""),-9.211534592727274E7)</f>
        <v>-92115345.93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IFERROR(__xludf.DUMMYFUNCTION("""COMPUTED_VALUE"""),-1.9805857909090906E7)</f>
        <v>-19805857.91</v>
      </c>
      <c r="C110" s="44">
        <f>IFERROR(__xludf.DUMMYFUNCTION("""COMPUTED_VALUE"""),-1.9636455763636366E7)</f>
        <v>-19636455.76</v>
      </c>
      <c r="D110" s="44">
        <f>IFERROR(__xludf.DUMMYFUNCTION("""COMPUTED_VALUE"""),-1.5226109454545453E7)</f>
        <v>-15226109.45</v>
      </c>
      <c r="E110" s="44">
        <f>IFERROR(__xludf.DUMMYFUNCTION("""COMPUTED_VALUE"""),-1.471000549090909E7)</f>
        <v>-14710005.49</v>
      </c>
      <c r="F110" s="44">
        <f>IFERROR(__xludf.DUMMYFUNCTION("""COMPUTED_VALUE"""),-2.1219834327272728E7)</f>
        <v>-21219834.33</v>
      </c>
      <c r="G110" s="44">
        <f>IFERROR(__xludf.DUMMYFUNCTION("""COMPUTED_VALUE"""),-1.4747151872727271E7)</f>
        <v>-14747151.87</v>
      </c>
      <c r="H110" s="24"/>
      <c r="I110" s="44">
        <f>IFERROR(__xludf.DUMMYFUNCTION("""COMPUTED_VALUE"""),-1.689039998181818E7)</f>
        <v>-16890399.98</v>
      </c>
      <c r="J110" s="44">
        <f>IFERROR(__xludf.DUMMYFUNCTION("""COMPUTED_VALUE"""),-1.5937204090909092E7)</f>
        <v>-15937204.09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IFERROR(__xludf.DUMMYFUNCTION("""COMPUTED_VALUE"""),-1.3817301889090908E8)</f>
        <v>-138173018.9</v>
      </c>
      <c r="P110" s="45">
        <f>IFERROR(__xludf.DUMMYFUNCTION("""COMPUTED_VALUE"""),-12561.18353553719)</f>
        <v>-12561.18354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IFERROR(__xludf.DUMMYFUNCTION("""COMPUTED_VALUE"""),-4398329.224242424)</f>
        <v>-4398329.224</v>
      </c>
      <c r="C112" s="44">
        <f>IFERROR(__xludf.DUMMYFUNCTION("""COMPUTED_VALUE"""),-4360852.16969697)</f>
        <v>-4360852.17</v>
      </c>
      <c r="D112" s="44">
        <f>IFERROR(__xludf.DUMMYFUNCTION("""COMPUTED_VALUE"""),-2983020.010695187)</f>
        <v>-2983020.011</v>
      </c>
      <c r="E112" s="44">
        <f>IFERROR(__xludf.DUMMYFUNCTION("""COMPUTED_VALUE"""),-2886249.2727272725)</f>
        <v>-2886249.273</v>
      </c>
      <c r="F112" s="44">
        <f>IFERROR(__xludf.DUMMYFUNCTION("""COMPUTED_VALUE"""),-4714932.206060606)</f>
        <v>-4714932.206</v>
      </c>
      <c r="G112" s="44">
        <f>IFERROR(__xludf.DUMMYFUNCTION("""COMPUTED_VALUE"""),-3274412.0606060605)</f>
        <v>-3274412.061</v>
      </c>
      <c r="H112" s="24"/>
      <c r="I112" s="44">
        <f>IFERROR(__xludf.DUMMYFUNCTION("""COMPUTED_VALUE"""),-3750977.018181818)</f>
        <v>-3750977.018</v>
      </c>
      <c r="J112" s="44">
        <f>IFERROR(__xludf.DUMMYFUNCTION("""COMPUTED_VALUE"""),-3539148.6424242426)</f>
        <v>-3539148.642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IFERROR(__xludf.DUMMYFUNCTION("""COMPUTED_VALUE"""),-3712559.2551319646)</f>
        <v>-3712559.255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93">
        <f>IFERROR(__xludf.DUMMYFUNCTION("""COMPUTED_VALUE"""),7.5)</f>
        <v>7.5</v>
      </c>
      <c r="C113" s="93">
        <f>IFERROR(__xludf.DUMMYFUNCTION("""COMPUTED_VALUE"""),7.5)</f>
        <v>7.5</v>
      </c>
      <c r="D113" s="93">
        <f>IFERROR(__xludf.DUMMYFUNCTION("""COMPUTED_VALUE"""),8.5)</f>
        <v>8.5</v>
      </c>
      <c r="E113" s="93">
        <f>IFERROR(__xludf.DUMMYFUNCTION("""COMPUTED_VALUE"""),8.5)</f>
        <v>8.5</v>
      </c>
      <c r="F113" s="93">
        <f>IFERROR(__xludf.DUMMYFUNCTION("""COMPUTED_VALUE"""),7.5)</f>
        <v>7.5</v>
      </c>
      <c r="G113" s="93">
        <f>IFERROR(__xludf.DUMMYFUNCTION("""COMPUTED_VALUE"""),7.5)</f>
        <v>7.5</v>
      </c>
      <c r="H113" s="29"/>
      <c r="I113" s="93">
        <f>IFERROR(__xludf.DUMMYFUNCTION("""COMPUTED_VALUE"""),7.5)</f>
        <v>7.5</v>
      </c>
      <c r="J113" s="93">
        <f>IFERROR(__xludf.DUMMYFUNCTION("""COMPUTED_VALUE"""),7.5)</f>
        <v>7.5</v>
      </c>
      <c r="K113" s="93">
        <f>IFERROR(__xludf.DUMMYFUNCTION("""COMPUTED_VALUE"""),0.0)</f>
        <v>0</v>
      </c>
      <c r="L113" s="93">
        <f>IFERROR(__xludf.DUMMYFUNCTION("""COMPUTED_VALUE"""),0.0)</f>
        <v>0</v>
      </c>
      <c r="M113" s="93">
        <f>IFERROR(__xludf.DUMMYFUNCTION("""COMPUTED_VALUE"""),0.0)</f>
        <v>0</v>
      </c>
      <c r="N113" s="93">
        <f>IFERROR(__xludf.DUMMYFUNCTION("""COMPUTED_VALUE"""),0.0)</f>
        <v>0</v>
      </c>
      <c r="O113" s="50">
        <f>IFERROR(__xludf.DUMMYFUNCTION("""COMPUTED_VALUE"""),62.0)</f>
        <v>62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93">
        <f>IFERROR(__xludf.DUMMYFUNCTION("""COMPUTED_VALUE"""),2.0)</f>
        <v>2</v>
      </c>
      <c r="C114" s="93">
        <f>IFERROR(__xludf.DUMMYFUNCTION("""COMPUTED_VALUE"""),2.0)</f>
        <v>2</v>
      </c>
      <c r="D114" s="93">
        <f>IFERROR(__xludf.DUMMYFUNCTION("""COMPUTED_VALUE"""),2.0)</f>
        <v>2</v>
      </c>
      <c r="E114" s="93">
        <f>IFERROR(__xludf.DUMMYFUNCTION("""COMPUTED_VALUE"""),2.0)</f>
        <v>2</v>
      </c>
      <c r="F114" s="93">
        <f>IFERROR(__xludf.DUMMYFUNCTION("""COMPUTED_VALUE"""),2.0)</f>
        <v>2</v>
      </c>
      <c r="G114" s="93">
        <f>IFERROR(__xludf.DUMMYFUNCTION("""COMPUTED_VALUE"""),2.0)</f>
        <v>2</v>
      </c>
      <c r="H114" s="29"/>
      <c r="I114" s="93">
        <f>IFERROR(__xludf.DUMMYFUNCTION("""COMPUTED_VALUE"""),2.0)</f>
        <v>2</v>
      </c>
      <c r="J114" s="93">
        <f>IFERROR(__xludf.DUMMYFUNCTION("""COMPUTED_VALUE"""),2.0)</f>
        <v>2</v>
      </c>
      <c r="K114" s="93">
        <f>IFERROR(__xludf.DUMMYFUNCTION("""COMPUTED_VALUE"""),0.0)</f>
        <v>0</v>
      </c>
      <c r="L114" s="93">
        <f>IFERROR(__xludf.DUMMYFUNCTION("""COMPUTED_VALUE"""),0.0)</f>
        <v>0</v>
      </c>
      <c r="M114" s="93">
        <f>IFERROR(__xludf.DUMMYFUNCTION("""COMPUTED_VALUE"""),0.0)</f>
        <v>0</v>
      </c>
      <c r="N114" s="93">
        <f>IFERROR(__xludf.DUMMYFUNCTION("""COMPUTED_VALUE"""),0.0)</f>
        <v>0</v>
      </c>
      <c r="O114" s="50">
        <f>IFERROR(__xludf.DUMMYFUNCTION("""COMPUTED_VALUE"""),16.0)</f>
        <v>16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IFERROR(__xludf.DUMMYFUNCTION("""COMPUTED_VALUE"""),-3.863397291564292E7)</f>
        <v>-38633972.92</v>
      </c>
      <c r="C116" s="44">
        <f>IFERROR(__xludf.DUMMYFUNCTION("""COMPUTED_VALUE"""),-3.811005591778656E7)</f>
        <v>-38110055.92</v>
      </c>
      <c r="D116" s="44">
        <f>IFERROR(__xludf.DUMMYFUNCTION("""COMPUTED_VALUE"""),-2.998784462924901E7)</f>
        <v>-29987844.63</v>
      </c>
      <c r="E116" s="44">
        <f>IFERROR(__xludf.DUMMYFUNCTION("""COMPUTED_VALUE"""),-2.8862492727272727E7)</f>
        <v>-28862492.73</v>
      </c>
      <c r="F116" s="44">
        <f>IFERROR(__xludf.DUMMYFUNCTION("""COMPUTED_VALUE"""),-4.120440753992095E7)</f>
        <v>-41204407.54</v>
      </c>
      <c r="G116" s="44">
        <f>IFERROR(__xludf.DUMMYFUNCTION("""COMPUTED_VALUE"""),-2.847913010695187E7)</f>
        <v>-28479130.11</v>
      </c>
      <c r="H116" s="24"/>
      <c r="I116" s="44">
        <f>IFERROR(__xludf.DUMMYFUNCTION("""COMPUTED_VALUE"""),-3.2624043813598167E7)</f>
        <v>-32624043.81</v>
      </c>
      <c r="J116" s="44">
        <f>IFERROR(__xludf.DUMMYFUNCTION("""COMPUTED_VALUE"""),-3.071162045078888E7)</f>
        <v>-30711620.45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IFERROR(__xludf.DUMMYFUNCTION("""COMPUTED_VALUE"""),-2.686135681012111E8)</f>
        <v>-268613568.1</v>
      </c>
      <c r="P116" s="45">
        <f>IFERROR(__xludf.DUMMYFUNCTION("""COMPUTED_VALUE"""),-24419.41528192828)</f>
        <v>-24419.41528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IFERROR(__xludf.DUMMYFUNCTION("""COMPUTED_VALUE"""),-3.865626691564292E7)</f>
        <v>-38656266.92</v>
      </c>
      <c r="C117" s="46">
        <f>IFERROR(__xludf.DUMMYFUNCTION("""COMPUTED_VALUE"""),-3.813109091778656E7)</f>
        <v>-38131090.92</v>
      </c>
      <c r="D117" s="46">
        <f>IFERROR(__xludf.DUMMYFUNCTION("""COMPUTED_VALUE"""),-3.000902362924901E7)</f>
        <v>-30009023.63</v>
      </c>
      <c r="E117" s="46">
        <f>IFERROR(__xludf.DUMMYFUNCTION("""COMPUTED_VALUE"""),-2.8846049727272727E7)</f>
        <v>-28846049.73</v>
      </c>
      <c r="F117" s="46">
        <f>IFERROR(__xludf.DUMMYFUNCTION("""COMPUTED_VALUE"""),-4.120880653992095E7)</f>
        <v>-41208806.54</v>
      </c>
      <c r="G117" s="46">
        <f>IFERROR(__xludf.DUMMYFUNCTION("""COMPUTED_VALUE"""),-2.849962610695187E7)</f>
        <v>-28499626.11</v>
      </c>
      <c r="H117" s="24"/>
      <c r="I117" s="46">
        <f>IFERROR(__xludf.DUMMYFUNCTION("""COMPUTED_VALUE"""),-3.2642382813598167E7)</f>
        <v>-32642382.81</v>
      </c>
      <c r="J117" s="46">
        <f>IFERROR(__xludf.DUMMYFUNCTION("""COMPUTED_VALUE"""),-3.073001245078888E7)</f>
        <v>-30730012.45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IFERROR(__xludf.DUMMYFUNCTION("""COMPUTED_VALUE"""),-2.687232591012111E8)</f>
        <v>-268723259.1</v>
      </c>
      <c r="P117" s="59">
        <f>IFERROR(__xludf.DUMMYFUNCTION("""COMPUTED_VALUE"""),-24429.38719101919)</f>
        <v>-24429.38719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IFERROR(__xludf.DUMMYFUNCTION("""COMPUTED_VALUE"""),9.5)</f>
        <v>9.5</v>
      </c>
      <c r="C118" s="58">
        <f>IFERROR(__xludf.DUMMYFUNCTION("""COMPUTED_VALUE"""),9.5)</f>
        <v>9.5</v>
      </c>
      <c r="D118" s="58">
        <f>IFERROR(__xludf.DUMMYFUNCTION("""COMPUTED_VALUE"""),10.5)</f>
        <v>10.5</v>
      </c>
      <c r="E118" s="58">
        <f>IFERROR(__xludf.DUMMYFUNCTION("""COMPUTED_VALUE"""),10.5)</f>
        <v>10.5</v>
      </c>
      <c r="F118" s="58">
        <f>IFERROR(__xludf.DUMMYFUNCTION("""COMPUTED_VALUE"""),9.5)</f>
        <v>9.5</v>
      </c>
      <c r="G118" s="58">
        <f>IFERROR(__xludf.DUMMYFUNCTION("""COMPUTED_VALUE"""),9.5)</f>
        <v>9.5</v>
      </c>
      <c r="H118" s="29"/>
      <c r="I118" s="58">
        <f>IFERROR(__xludf.DUMMYFUNCTION("""COMPUTED_VALUE"""),9.5)</f>
        <v>9.5</v>
      </c>
      <c r="J118" s="58">
        <f>IFERROR(__xludf.DUMMYFUNCTION("""COMPUTED_VALUE"""),9.5)</f>
        <v>9.5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IFERROR(__xludf.DUMMYFUNCTION("""COMPUTED_VALUE"""),78.0)</f>
        <v>78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IFERROR(__xludf.DUMMYFUNCTION("""COMPUTED_VALUE"""),0.17117117117117117)</f>
        <v>0.1711711712</v>
      </c>
      <c r="C119" s="49">
        <f>IFERROR(__xludf.DUMMYFUNCTION("""COMPUTED_VALUE"""),0.16521739130434782)</f>
        <v>0.1652173913</v>
      </c>
      <c r="D119" s="49">
        <f>IFERROR(__xludf.DUMMYFUNCTION("""COMPUTED_VALUE"""),0.1826086956521739)</f>
        <v>0.1826086957</v>
      </c>
      <c r="E119" s="49">
        <f>IFERROR(__xludf.DUMMYFUNCTION("""COMPUTED_VALUE"""),0.17647058823529413)</f>
        <v>0.1764705882</v>
      </c>
      <c r="F119" s="49">
        <f>IFERROR(__xludf.DUMMYFUNCTION("""COMPUTED_VALUE"""),0.16521739130434782)</f>
        <v>0.1652173913</v>
      </c>
      <c r="G119" s="49">
        <f>IFERROR(__xludf.DUMMYFUNCTION("""COMPUTED_VALUE"""),0.15966386554621848)</f>
        <v>0.1596638655</v>
      </c>
      <c r="H119" s="24"/>
      <c r="I119" s="49">
        <f>IFERROR(__xludf.DUMMYFUNCTION("""COMPUTED_VALUE"""),0.15966386554621848)</f>
        <v>0.1596638655</v>
      </c>
      <c r="J119" s="49">
        <f>IFERROR(__xludf.DUMMYFUNCTION("""COMPUTED_VALUE"""),0.15702479338842976)</f>
        <v>0.1570247934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IFERROR(__xludf.DUMMYFUNCTION("""COMPUTED_VALUE"""),0.1670235546038544)</f>
        <v>0.1670235546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IFERROR(__xludf.DUMMYFUNCTION("""COMPUTED_VALUE"""),5646503.733824734)</f>
        <v>5646503.734</v>
      </c>
      <c r="C120" s="46">
        <f>IFERROR(__xludf.DUMMYFUNCTION("""COMPUTED_VALUE"""),5403664.6450592885)</f>
        <v>5403664.645</v>
      </c>
      <c r="D120" s="46">
        <f>IFERROR(__xludf.DUMMYFUNCTION("""COMPUTED_VALUE"""),4632174.53833992)</f>
        <v>4632174.538</v>
      </c>
      <c r="E120" s="46">
        <f>IFERROR(__xludf.DUMMYFUNCTION("""COMPUTED_VALUE"""),4329373.909090909)</f>
        <v>4329373.909</v>
      </c>
      <c r="F120" s="46">
        <f>IFERROR(__xludf.DUMMYFUNCTION("""COMPUTED_VALUE"""),5842415.994466403)</f>
        <v>5842415.994</v>
      </c>
      <c r="G120" s="46">
        <f>IFERROR(__xludf.DUMMYFUNCTION("""COMPUTED_VALUE"""),3921039.6524064164)</f>
        <v>3921039.652</v>
      </c>
      <c r="H120" s="46"/>
      <c r="I120" s="46">
        <f>IFERROR(__xludf.DUMMYFUNCTION("""COMPUTED_VALUE"""),4491716.1772345295)</f>
        <v>4491716.177</v>
      </c>
      <c r="J120" s="46">
        <f>IFERROR(__xludf.DUMMYFUNCTION("""COMPUTED_VALUE"""),4168005.632607063)</f>
        <v>4168005.633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IFERROR(__xludf.DUMMYFUNCTION("""COMPUTED_VALUE"""),3.843489428302926E7)</f>
        <v>38434894.28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IFERROR(__xludf.DUMMYFUNCTION("""COMPUTED_VALUE"""),2.6921003E7)</f>
        <v>26921003</v>
      </c>
      <c r="C122" s="46">
        <f>IFERROR(__xludf.DUMMYFUNCTION("""COMPUTED_VALUE"""),2.6228418E7)</f>
        <v>26228418</v>
      </c>
      <c r="D122" s="46">
        <f>IFERROR(__xludf.DUMMYFUNCTION("""COMPUTED_VALUE"""),1.5374281E7)</f>
        <v>15374281</v>
      </c>
      <c r="E122" s="46">
        <f>IFERROR(__xludf.DUMMYFUNCTION("""COMPUTED_VALUE"""),1.740051E7)</f>
        <v>17400510</v>
      </c>
      <c r="F122" s="46">
        <f>IFERROR(__xludf.DUMMYFUNCTION("""COMPUTED_VALUE"""),2.8657467E7)</f>
        <v>28657467</v>
      </c>
      <c r="G122" s="46">
        <f>IFERROR(__xludf.DUMMYFUNCTION("""COMPUTED_VALUE"""),1.7858149E7)</f>
        <v>17858149</v>
      </c>
      <c r="H122" s="24"/>
      <c r="I122" s="46">
        <f>IFERROR(__xludf.DUMMYFUNCTION("""COMPUTED_VALUE"""),2.1421155E7)</f>
        <v>21421155</v>
      </c>
      <c r="J122" s="46">
        <f>IFERROR(__xludf.DUMMYFUNCTION("""COMPUTED_VALUE"""),2.0047073E7)</f>
        <v>20047073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IFERROR(__xludf.DUMMYFUNCTION("IMPORTRANGE(""https://docs.google.com/spreadsheets/d/1SlHuJEDBJ4Gy3WXeRPN-U9OYonTEM2Yhh4rIuiFr5bQ/edit#gid=256474166"",""全社!A:S"")"),"2022年度")</f>
        <v>2022年度</v>
      </c>
      <c r="B1" s="38"/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IFERROR(__xludf.DUMMYFUNCTION("""COMPUTED_VALUE"""),"全社")</f>
        <v>全社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IFERROR(__xludf.DUMMYFUNCTION("""COMPUTED_VALUE"""),1.83320609E8)</f>
        <v>183320609</v>
      </c>
      <c r="C3" s="44">
        <f>IFERROR(__xludf.DUMMYFUNCTION("""COMPUTED_VALUE"""),2.05497323E8)</f>
        <v>205497323</v>
      </c>
      <c r="D3" s="44">
        <f>IFERROR(__xludf.DUMMYFUNCTION("""COMPUTED_VALUE"""),2.82643712E8)</f>
        <v>282643712</v>
      </c>
      <c r="E3" s="44">
        <f>IFERROR(__xludf.DUMMYFUNCTION("""COMPUTED_VALUE"""),1.89516659E8)</f>
        <v>189516659</v>
      </c>
      <c r="F3" s="44">
        <f>IFERROR(__xludf.DUMMYFUNCTION("""COMPUTED_VALUE"""),1.67014619E8)</f>
        <v>167014619</v>
      </c>
      <c r="G3" s="44">
        <f>IFERROR(__xludf.DUMMYFUNCTION("""COMPUTED_VALUE"""),1.69509814E8)</f>
        <v>169509814</v>
      </c>
      <c r="H3" s="24"/>
      <c r="I3" s="44">
        <f>IFERROR(__xludf.DUMMYFUNCTION("""COMPUTED_VALUE"""),1.77609624E8)</f>
        <v>177609624</v>
      </c>
      <c r="J3" s="44">
        <f>IFERROR(__xludf.DUMMYFUNCTION("""COMPUTED_VALUE"""),1.7281869E8)</f>
        <v>172818690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IFERROR(__xludf.DUMMYFUNCTION("""COMPUTED_VALUE"""),1.54793105E9)</f>
        <v>1547931050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46">
        <f>IFERROR(__xludf.DUMMYFUNCTION("""COMPUTED_VALUE"""),2.7774411E7)</f>
        <v>27774411</v>
      </c>
      <c r="C4" s="46">
        <f>IFERROR(__xludf.DUMMYFUNCTION("""COMPUTED_VALUE"""),3.1015699E7)</f>
        <v>31015699</v>
      </c>
      <c r="D4" s="46">
        <f>IFERROR(__xludf.DUMMYFUNCTION("""COMPUTED_VALUE"""),3.3846689E7)</f>
        <v>33846689</v>
      </c>
      <c r="E4" s="46">
        <f>IFERROR(__xludf.DUMMYFUNCTION("""COMPUTED_VALUE"""),3.4057091E7)</f>
        <v>34057091</v>
      </c>
      <c r="F4" s="46">
        <f>IFERROR(__xludf.DUMMYFUNCTION("""COMPUTED_VALUE"""),3.5468754E7)</f>
        <v>35468754</v>
      </c>
      <c r="G4" s="46">
        <f>IFERROR(__xludf.DUMMYFUNCTION("""COMPUTED_VALUE"""),3.3933217E7)</f>
        <v>33933217</v>
      </c>
      <c r="H4" s="24"/>
      <c r="I4" s="46">
        <f>IFERROR(__xludf.DUMMYFUNCTION("""COMPUTED_VALUE"""),3.7540117E7)</f>
        <v>37540117</v>
      </c>
      <c r="J4" s="46">
        <f>IFERROR(__xludf.DUMMYFUNCTION("""COMPUTED_VALUE"""),3.7177428E7)</f>
        <v>37177428</v>
      </c>
      <c r="K4" s="46">
        <f>IFERROR(__xludf.DUMMYFUNCTION("""COMPUTED_VALUE"""),0.0)</f>
        <v>0</v>
      </c>
      <c r="L4" s="46">
        <f>IFERROR(__xludf.DUMMYFUNCTION("""COMPUTED_VALUE"""),0.0)</f>
        <v>0</v>
      </c>
      <c r="M4" s="46">
        <f>IFERROR(__xludf.DUMMYFUNCTION("""COMPUTED_VALUE"""),0.0)</f>
        <v>0</v>
      </c>
      <c r="N4" s="46">
        <f>IFERROR(__xludf.DUMMYFUNCTION("""COMPUTED_VALUE"""),0.0)</f>
        <v>0</v>
      </c>
      <c r="O4" s="46">
        <f>IFERROR(__xludf.DUMMYFUNCTION("""COMPUTED_VALUE"""),2.70813406E8)</f>
        <v>270813406</v>
      </c>
      <c r="P4" s="47">
        <f>IFERROR(__xludf.DUMMYFUNCTION("""COMPUTED_VALUE"""),0.17495185331413826)</f>
        <v>0.1749518533</v>
      </c>
      <c r="Q4" s="16"/>
    </row>
    <row r="5" ht="15.0" customHeight="1">
      <c r="A5" s="3" t="str">
        <f>IFERROR(__xludf.DUMMYFUNCTION("""COMPUTED_VALUE"""),"Global-PE")</f>
        <v>Global-PE</v>
      </c>
      <c r="B5" s="46">
        <f>IFERROR(__xludf.DUMMYFUNCTION("""COMPUTED_VALUE"""),1.958065E7)</f>
        <v>19580650</v>
      </c>
      <c r="C5" s="46">
        <f>IFERROR(__xludf.DUMMYFUNCTION("""COMPUTED_VALUE"""),1.93486E7)</f>
        <v>19348600</v>
      </c>
      <c r="D5" s="46">
        <f>IFERROR(__xludf.DUMMYFUNCTION("""COMPUTED_VALUE"""),2.0914538E7)</f>
        <v>20914538</v>
      </c>
      <c r="E5" s="46">
        <f>IFERROR(__xludf.DUMMYFUNCTION("""COMPUTED_VALUE"""),2.0765088E7)</f>
        <v>20765088</v>
      </c>
      <c r="F5" s="46">
        <f>IFERROR(__xludf.DUMMYFUNCTION("""COMPUTED_VALUE"""),2.1362032E7)</f>
        <v>21362032</v>
      </c>
      <c r="G5" s="46">
        <f>IFERROR(__xludf.DUMMYFUNCTION("""COMPUTED_VALUE"""),2.1218175E7)</f>
        <v>21218175</v>
      </c>
      <c r="H5" s="24"/>
      <c r="I5" s="46">
        <f>IFERROR(__xludf.DUMMYFUNCTION("""COMPUTED_VALUE"""),2.22096E7)</f>
        <v>22209600</v>
      </c>
      <c r="J5" s="46">
        <f>IFERROR(__xludf.DUMMYFUNCTION("""COMPUTED_VALUE"""),2.1106925E7)</f>
        <v>21106925</v>
      </c>
      <c r="K5" s="46">
        <f>IFERROR(__xludf.DUMMYFUNCTION("""COMPUTED_VALUE"""),0.0)</f>
        <v>0</v>
      </c>
      <c r="L5" s="46">
        <f>IFERROR(__xludf.DUMMYFUNCTION("""COMPUTED_VALUE"""),0.0)</f>
        <v>0</v>
      </c>
      <c r="M5" s="46">
        <f>IFERROR(__xludf.DUMMYFUNCTION("""COMPUTED_VALUE"""),0.0)</f>
        <v>0</v>
      </c>
      <c r="N5" s="46">
        <f>IFERROR(__xludf.DUMMYFUNCTION("""COMPUTED_VALUE"""),0.0)</f>
        <v>0</v>
      </c>
      <c r="O5" s="46">
        <f>IFERROR(__xludf.DUMMYFUNCTION("""COMPUTED_VALUE"""),1.66505608E8)</f>
        <v>166505608</v>
      </c>
      <c r="P5" s="47">
        <f>IFERROR(__xludf.DUMMYFUNCTION("""COMPUTED_VALUE"""),0.10756655343272557)</f>
        <v>0.1075665534</v>
      </c>
      <c r="Q5" s="16"/>
    </row>
    <row r="6" ht="15.0" customHeight="1">
      <c r="A6" s="3" t="str">
        <f>IFERROR(__xludf.DUMMYFUNCTION("""COMPUTED_VALUE"""),"その他-PE")</f>
        <v>その他-PE</v>
      </c>
      <c r="B6" s="46">
        <f>IFERROR(__xludf.DUMMYFUNCTION("""COMPUTED_VALUE"""),0.0)</f>
        <v>0</v>
      </c>
      <c r="C6" s="46">
        <f>IFERROR(__xludf.DUMMYFUNCTION("""COMPUTED_VALUE"""),0.0)</f>
        <v>0</v>
      </c>
      <c r="D6" s="46">
        <f>IFERROR(__xludf.DUMMYFUNCTION("""COMPUTED_VALUE"""),0.0)</f>
        <v>0</v>
      </c>
      <c r="E6" s="46">
        <f>IFERROR(__xludf.DUMMYFUNCTION("""COMPUTED_VALUE"""),0.0)</f>
        <v>0</v>
      </c>
      <c r="F6" s="46">
        <f>IFERROR(__xludf.DUMMYFUNCTION("""COMPUTED_VALUE"""),0.0)</f>
        <v>0</v>
      </c>
      <c r="G6" s="46">
        <f>IFERROR(__xludf.DUMMYFUNCTION("""COMPUTED_VALUE"""),0.0)</f>
        <v>0</v>
      </c>
      <c r="H6" s="24"/>
      <c r="I6" s="46">
        <f>IFERROR(__xludf.DUMMYFUNCTION("""COMPUTED_VALUE"""),0.0)</f>
        <v>0</v>
      </c>
      <c r="J6" s="46">
        <f>IFERROR(__xludf.DUMMYFUNCTION("""COMPUTED_VALUE"""),0.0)</f>
        <v>0</v>
      </c>
      <c r="K6" s="46">
        <f>IFERROR(__xludf.DUMMYFUNCTION("""COMPUTED_VALUE"""),0.0)</f>
        <v>0</v>
      </c>
      <c r="L6" s="46">
        <f>IFERROR(__xludf.DUMMYFUNCTION("""COMPUTED_VALUE"""),0.0)</f>
        <v>0</v>
      </c>
      <c r="M6" s="46">
        <f>IFERROR(__xludf.DUMMYFUNCTION("""COMPUTED_VALUE"""),0.0)</f>
        <v>0</v>
      </c>
      <c r="N6" s="46">
        <f>IFERROR(__xludf.DUMMYFUNCTION("""COMPUTED_VALUE"""),0.0)</f>
        <v>0</v>
      </c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46">
        <f>IFERROR(__xludf.DUMMYFUNCTION("""COMPUTED_VALUE"""),5.640184E7)</f>
        <v>56401840</v>
      </c>
      <c r="C7" s="46">
        <f>IFERROR(__xludf.DUMMYFUNCTION("""COMPUTED_VALUE"""),8.81364E7)</f>
        <v>88136400</v>
      </c>
      <c r="D7" s="46">
        <f>IFERROR(__xludf.DUMMYFUNCTION("""COMPUTED_VALUE"""),7.56657E7)</f>
        <v>75665700</v>
      </c>
      <c r="E7" s="46">
        <f>IFERROR(__xludf.DUMMYFUNCTION("""COMPUTED_VALUE"""),6.5571135E7)</f>
        <v>65571135</v>
      </c>
      <c r="F7" s="46">
        <f>IFERROR(__xludf.DUMMYFUNCTION("""COMPUTED_VALUE"""),4.9569876E7)</f>
        <v>49569876</v>
      </c>
      <c r="G7" s="46">
        <f>IFERROR(__xludf.DUMMYFUNCTION("""COMPUTED_VALUE"""),4.1359749E7)</f>
        <v>41359749</v>
      </c>
      <c r="H7" s="24"/>
      <c r="I7" s="46">
        <f>IFERROR(__xludf.DUMMYFUNCTION("""COMPUTED_VALUE"""),4.54443E7)</f>
        <v>45444300</v>
      </c>
      <c r="J7" s="46">
        <f>IFERROR(__xludf.DUMMYFUNCTION("""COMPUTED_VALUE"""),3.9849205E7)</f>
        <v>39849205</v>
      </c>
      <c r="K7" s="46">
        <f>IFERROR(__xludf.DUMMYFUNCTION("""COMPUTED_VALUE"""),0.0)</f>
        <v>0</v>
      </c>
      <c r="L7" s="46">
        <f>IFERROR(__xludf.DUMMYFUNCTION("""COMPUTED_VALUE"""),0.0)</f>
        <v>0</v>
      </c>
      <c r="M7" s="46">
        <f>IFERROR(__xludf.DUMMYFUNCTION("""COMPUTED_VALUE"""),0.0)</f>
        <v>0</v>
      </c>
      <c r="N7" s="46">
        <f>IFERROR(__xludf.DUMMYFUNCTION("""COMPUTED_VALUE"""),0.0)</f>
        <v>0</v>
      </c>
      <c r="O7" s="46">
        <f>IFERROR(__xludf.DUMMYFUNCTION("""COMPUTED_VALUE"""),4.61998205E8)</f>
        <v>461998205</v>
      </c>
      <c r="P7" s="47">
        <f>IFERROR(__xludf.DUMMYFUNCTION("""COMPUTED_VALUE"""),0.29846174672961046)</f>
        <v>0.2984617467</v>
      </c>
      <c r="Q7" s="16"/>
    </row>
    <row r="8" ht="15.0" customHeight="1">
      <c r="A8" s="3" t="str">
        <f>IFERROR(__xludf.DUMMYFUNCTION("""COMPUTED_VALUE"""),"放課後支援")</f>
        <v>放課後支援</v>
      </c>
      <c r="B8" s="46">
        <f>IFERROR(__xludf.DUMMYFUNCTION("""COMPUTED_VALUE"""),2.8435147E7)</f>
        <v>28435147</v>
      </c>
      <c r="C8" s="46">
        <f>IFERROR(__xludf.DUMMYFUNCTION("""COMPUTED_VALUE"""),3.6168887E7)</f>
        <v>36168887</v>
      </c>
      <c r="D8" s="46">
        <f>IFERROR(__xludf.DUMMYFUNCTION("""COMPUTED_VALUE"""),1.0859227E8)</f>
        <v>108592270</v>
      </c>
      <c r="E8" s="46">
        <f>IFERROR(__xludf.DUMMYFUNCTION("""COMPUTED_VALUE"""),3.2924512E7)</f>
        <v>32924512</v>
      </c>
      <c r="F8" s="46">
        <f>IFERROR(__xludf.DUMMYFUNCTION("""COMPUTED_VALUE"""),3.3405806E7)</f>
        <v>33405806</v>
      </c>
      <c r="G8" s="46">
        <f>IFERROR(__xludf.DUMMYFUNCTION("""COMPUTED_VALUE"""),3.5878507E7)</f>
        <v>35878507</v>
      </c>
      <c r="H8" s="24"/>
      <c r="I8" s="46">
        <f>IFERROR(__xludf.DUMMYFUNCTION("""COMPUTED_VALUE"""),3.2416858E7)</f>
        <v>32416858</v>
      </c>
      <c r="J8" s="46">
        <f>IFERROR(__xludf.DUMMYFUNCTION("""COMPUTED_VALUE"""),3.4498966E7)</f>
        <v>34498966</v>
      </c>
      <c r="K8" s="46">
        <f>IFERROR(__xludf.DUMMYFUNCTION("""COMPUTED_VALUE"""),0.0)</f>
        <v>0</v>
      </c>
      <c r="L8" s="46">
        <f>IFERROR(__xludf.DUMMYFUNCTION("""COMPUTED_VALUE"""),0.0)</f>
        <v>0</v>
      </c>
      <c r="M8" s="46">
        <f>IFERROR(__xludf.DUMMYFUNCTION("""COMPUTED_VALUE"""),0.0)</f>
        <v>0</v>
      </c>
      <c r="N8" s="46">
        <f>IFERROR(__xludf.DUMMYFUNCTION("""COMPUTED_VALUE"""),0.0)</f>
        <v>0</v>
      </c>
      <c r="O8" s="46">
        <f>IFERROR(__xludf.DUMMYFUNCTION("""COMPUTED_VALUE"""),3.42320953E8)</f>
        <v>342320953</v>
      </c>
      <c r="P8" s="47">
        <f>IFERROR(__xludf.DUMMYFUNCTION("""COMPUTED_VALUE"""),0.2211474167405583)</f>
        <v>0.2211474167</v>
      </c>
      <c r="Q8" s="16"/>
    </row>
    <row r="9" ht="15.0" customHeight="1">
      <c r="A9" s="3" t="str">
        <f>IFERROR(__xludf.DUMMYFUNCTION("""COMPUTED_VALUE"""),"採点OS")</f>
        <v>採点OS</v>
      </c>
      <c r="B9" s="46">
        <f>IFERROR(__xludf.DUMMYFUNCTION("""COMPUTED_VALUE"""),5265126.0)</f>
        <v>5265126</v>
      </c>
      <c r="C9" s="46">
        <f>IFERROR(__xludf.DUMMYFUNCTION("""COMPUTED_VALUE"""),1.4701863E7)</f>
        <v>14701863</v>
      </c>
      <c r="D9" s="46">
        <f>IFERROR(__xludf.DUMMYFUNCTION("""COMPUTED_VALUE"""),1.3179063E7)</f>
        <v>13179063</v>
      </c>
      <c r="E9" s="46">
        <f>IFERROR(__xludf.DUMMYFUNCTION("""COMPUTED_VALUE"""),7232622.0)</f>
        <v>7232622</v>
      </c>
      <c r="F9" s="46">
        <f>IFERROR(__xludf.DUMMYFUNCTION("""COMPUTED_VALUE"""),3575490.0)</f>
        <v>3575490</v>
      </c>
      <c r="G9" s="46">
        <f>IFERROR(__xludf.DUMMYFUNCTION("""COMPUTED_VALUE"""),9975954.0)</f>
        <v>9975954</v>
      </c>
      <c r="H9" s="24"/>
      <c r="I9" s="46">
        <f>IFERROR(__xludf.DUMMYFUNCTION("""COMPUTED_VALUE"""),8266495.0)</f>
        <v>8266495</v>
      </c>
      <c r="J9" s="46">
        <f>IFERROR(__xludf.DUMMYFUNCTION("""COMPUTED_VALUE"""),1.0717246E7)</f>
        <v>10717246</v>
      </c>
      <c r="K9" s="46">
        <f>IFERROR(__xludf.DUMMYFUNCTION("""COMPUTED_VALUE"""),0.0)</f>
        <v>0</v>
      </c>
      <c r="L9" s="46">
        <f>IFERROR(__xludf.DUMMYFUNCTION("""COMPUTED_VALUE"""),0.0)</f>
        <v>0</v>
      </c>
      <c r="M9" s="46">
        <f>IFERROR(__xludf.DUMMYFUNCTION("""COMPUTED_VALUE"""),0.0)</f>
        <v>0</v>
      </c>
      <c r="N9" s="46">
        <f>IFERROR(__xludf.DUMMYFUNCTION("""COMPUTED_VALUE"""),0.0)</f>
        <v>0</v>
      </c>
      <c r="O9" s="46">
        <f>IFERROR(__xludf.DUMMYFUNCTION("""COMPUTED_VALUE"""),7.2913859E7)</f>
        <v>72913859</v>
      </c>
      <c r="P9" s="47">
        <f>IFERROR(__xludf.DUMMYFUNCTION("""COMPUTED_VALUE"""),0.04710407417694735)</f>
        <v>0.04710407418</v>
      </c>
      <c r="Q9" s="16"/>
    </row>
    <row r="10" ht="15.0" customHeight="1">
      <c r="A10" s="3" t="str">
        <f>IFERROR(__xludf.DUMMYFUNCTION("""COMPUTED_VALUE"""),"GEC")</f>
        <v>GEC</v>
      </c>
      <c r="B10" s="46">
        <f>IFERROR(__xludf.DUMMYFUNCTION("""COMPUTED_VALUE"""),7117718.0)</f>
        <v>7117718</v>
      </c>
      <c r="C10" s="46">
        <f>IFERROR(__xludf.DUMMYFUNCTION("""COMPUTED_VALUE"""),6248860.0)</f>
        <v>6248860</v>
      </c>
      <c r="D10" s="46">
        <f>IFERROR(__xludf.DUMMYFUNCTION("""COMPUTED_VALUE"""),1.545081E7)</f>
        <v>15450810</v>
      </c>
      <c r="E10" s="46">
        <f>IFERROR(__xludf.DUMMYFUNCTION("""COMPUTED_VALUE"""),1.7149639E7)</f>
        <v>17149639</v>
      </c>
      <c r="F10" s="46">
        <f>IFERROR(__xludf.DUMMYFUNCTION("""COMPUTED_VALUE"""),1.1957667E7)</f>
        <v>11957667</v>
      </c>
      <c r="G10" s="46">
        <f>IFERROR(__xludf.DUMMYFUNCTION("""COMPUTED_VALUE"""),6921975.0)</f>
        <v>6921975</v>
      </c>
      <c r="H10" s="24"/>
      <c r="I10" s="46">
        <f>IFERROR(__xludf.DUMMYFUNCTION("""COMPUTED_VALUE"""),2.434375E7)</f>
        <v>24343750</v>
      </c>
      <c r="J10" s="46">
        <f>IFERROR(__xludf.DUMMYFUNCTION("""COMPUTED_VALUE"""),2.0864938E7)</f>
        <v>20864938</v>
      </c>
      <c r="K10" s="46">
        <f>IFERROR(__xludf.DUMMYFUNCTION("""COMPUTED_VALUE"""),0.0)</f>
        <v>0</v>
      </c>
      <c r="L10" s="46">
        <f>IFERROR(__xludf.DUMMYFUNCTION("""COMPUTED_VALUE"""),0.0)</f>
        <v>0</v>
      </c>
      <c r="M10" s="46">
        <f>IFERROR(__xludf.DUMMYFUNCTION("""COMPUTED_VALUE"""),0.0)</f>
        <v>0</v>
      </c>
      <c r="N10" s="46">
        <f>IFERROR(__xludf.DUMMYFUNCTION("""COMPUTED_VALUE"""),0.0)</f>
        <v>0</v>
      </c>
      <c r="O10" s="46">
        <f>IFERROR(__xludf.DUMMYFUNCTION("""COMPUTED_VALUE"""),1.10055357E8)</f>
        <v>110055357</v>
      </c>
      <c r="P10" s="47">
        <f>IFERROR(__xludf.DUMMYFUNCTION("""COMPUTED_VALUE"""),0.07109835867689326)</f>
        <v>0.07109835868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46">
        <f>IFERROR(__xludf.DUMMYFUNCTION("""COMPUTED_VALUE"""),2.853576E7)</f>
        <v>28535760</v>
      </c>
      <c r="C11" s="46">
        <f>IFERROR(__xludf.DUMMYFUNCTION("""COMPUTED_VALUE"""),3002945.0)</f>
        <v>3002945</v>
      </c>
      <c r="D11" s="46">
        <f>IFERROR(__xludf.DUMMYFUNCTION("""COMPUTED_VALUE"""),339680.0)</f>
        <v>339680</v>
      </c>
      <c r="E11" s="46">
        <f>IFERROR(__xludf.DUMMYFUNCTION("""COMPUTED_VALUE"""),1065900.0)</f>
        <v>1065900</v>
      </c>
      <c r="F11" s="46">
        <f>IFERROR(__xludf.DUMMYFUNCTION("""COMPUTED_VALUE"""),1682725.0)</f>
        <v>1682725</v>
      </c>
      <c r="G11" s="46">
        <f>IFERROR(__xludf.DUMMYFUNCTION("""COMPUTED_VALUE"""),5760697.0)</f>
        <v>5760697</v>
      </c>
      <c r="H11" s="24"/>
      <c r="I11" s="46">
        <f>IFERROR(__xludf.DUMMYFUNCTION("""COMPUTED_VALUE"""),683100.0)</f>
        <v>683100</v>
      </c>
      <c r="J11" s="46">
        <f>IFERROR(__xludf.DUMMYFUNCTION("""COMPUTED_VALUE"""),2085820.0)</f>
        <v>2085820</v>
      </c>
      <c r="K11" s="46">
        <f>IFERROR(__xludf.DUMMYFUNCTION("""COMPUTED_VALUE"""),0.0)</f>
        <v>0</v>
      </c>
      <c r="L11" s="46">
        <f>IFERROR(__xludf.DUMMYFUNCTION("""COMPUTED_VALUE"""),0.0)</f>
        <v>0</v>
      </c>
      <c r="M11" s="46">
        <f>IFERROR(__xludf.DUMMYFUNCTION("""COMPUTED_VALUE"""),0.0)</f>
        <v>0</v>
      </c>
      <c r="N11" s="46">
        <f>IFERROR(__xludf.DUMMYFUNCTION("""COMPUTED_VALUE"""),0.0)</f>
        <v>0</v>
      </c>
      <c r="O11" s="46">
        <f>IFERROR(__xludf.DUMMYFUNCTION("""COMPUTED_VALUE"""),4.3156627E7)</f>
        <v>43156627</v>
      </c>
      <c r="P11" s="47">
        <f>IFERROR(__xludf.DUMMYFUNCTION("""COMPUTED_VALUE"""),0.027880199831898198)</f>
        <v>0.02788019983</v>
      </c>
      <c r="Q11" s="16"/>
    </row>
    <row r="12" ht="15.0" customHeight="1">
      <c r="A12" s="3" t="str">
        <f>IFERROR(__xludf.DUMMYFUNCTION("""COMPUTED_VALUE"""),"経営投資")</f>
        <v>経営投資</v>
      </c>
      <c r="B12" s="46">
        <f>IFERROR(__xludf.DUMMYFUNCTION("""COMPUTED_VALUE"""),1.0209957E7)</f>
        <v>10209957</v>
      </c>
      <c r="C12" s="46">
        <f>IFERROR(__xludf.DUMMYFUNCTION("""COMPUTED_VALUE"""),6874069.0)</f>
        <v>6874069</v>
      </c>
      <c r="D12" s="46">
        <f>IFERROR(__xludf.DUMMYFUNCTION("""COMPUTED_VALUE"""),1.4643962E7)</f>
        <v>14643962</v>
      </c>
      <c r="E12" s="46">
        <f>IFERROR(__xludf.DUMMYFUNCTION("""COMPUTED_VALUE"""),1.0750672E7)</f>
        <v>10750672</v>
      </c>
      <c r="F12" s="46">
        <f>IFERROR(__xludf.DUMMYFUNCTION("""COMPUTED_VALUE"""),9992269.0)</f>
        <v>9992269</v>
      </c>
      <c r="G12" s="46">
        <f>IFERROR(__xludf.DUMMYFUNCTION("""COMPUTED_VALUE"""),1.446154E7)</f>
        <v>14461540</v>
      </c>
      <c r="H12" s="24"/>
      <c r="I12" s="46">
        <f>IFERROR(__xludf.DUMMYFUNCTION("""COMPUTED_VALUE"""),6705404.0)</f>
        <v>6705404</v>
      </c>
      <c r="J12" s="46">
        <f>IFERROR(__xludf.DUMMYFUNCTION("""COMPUTED_VALUE"""),6518162.0)</f>
        <v>6518162</v>
      </c>
      <c r="K12" s="46">
        <f>IFERROR(__xludf.DUMMYFUNCTION("""COMPUTED_VALUE"""),0.0)</f>
        <v>0</v>
      </c>
      <c r="L12" s="46">
        <f>IFERROR(__xludf.DUMMYFUNCTION("""COMPUTED_VALUE"""),0.0)</f>
        <v>0</v>
      </c>
      <c r="M12" s="46">
        <f>IFERROR(__xludf.DUMMYFUNCTION("""COMPUTED_VALUE"""),0.0)</f>
        <v>0</v>
      </c>
      <c r="N12" s="46">
        <f>IFERROR(__xludf.DUMMYFUNCTION("""COMPUTED_VALUE"""),0.0)</f>
        <v>0</v>
      </c>
      <c r="O12" s="46">
        <f>IFERROR(__xludf.DUMMYFUNCTION("""COMPUTED_VALUE"""),8.0156035E7)</f>
        <v>80156035</v>
      </c>
      <c r="P12" s="47">
        <f>IFERROR(__xludf.DUMMYFUNCTION("""COMPUTED_VALUE"""),0.051782690837553776)</f>
        <v>0.05178269084</v>
      </c>
      <c r="Q12" s="16"/>
    </row>
    <row r="13" ht="15.0" customHeight="1">
      <c r="A13" s="3" t="str">
        <f>IFERROR(__xludf.DUMMYFUNCTION("""COMPUTED_VALUE"""),"内部送客")</f>
        <v>内部送客</v>
      </c>
      <c r="B13" s="46">
        <f>IFERROR(__xludf.DUMMYFUNCTION("""COMPUTED_VALUE"""),0.0)</f>
        <v>0</v>
      </c>
      <c r="C13" s="46">
        <f>IFERROR(__xludf.DUMMYFUNCTION("""COMPUTED_VALUE"""),0.0)</f>
        <v>0</v>
      </c>
      <c r="D13" s="46">
        <f>IFERROR(__xludf.DUMMYFUNCTION("""COMPUTED_VALUE"""),11000.0)</f>
        <v>11000</v>
      </c>
      <c r="E13" s="46">
        <f>IFERROR(__xludf.DUMMYFUNCTION("""COMPUTED_VALUE"""),0.0)</f>
        <v>0</v>
      </c>
      <c r="F13" s="46">
        <f>IFERROR(__xludf.DUMMYFUNCTION("""COMPUTED_VALUE"""),0.0)</f>
        <v>0</v>
      </c>
      <c r="G13" s="46">
        <f>IFERROR(__xludf.DUMMYFUNCTION("""COMPUTED_VALUE"""),0.0)</f>
        <v>0</v>
      </c>
      <c r="H13" s="24"/>
      <c r="I13" s="46">
        <f>IFERROR(__xludf.DUMMYFUNCTION("""COMPUTED_VALUE"""),0.0)</f>
        <v>0</v>
      </c>
      <c r="J13" s="46">
        <f>IFERROR(__xludf.DUMMYFUNCTION("""COMPUTED_VALUE"""),0.0)</f>
        <v>0</v>
      </c>
      <c r="K13" s="46">
        <f>IFERROR(__xludf.DUMMYFUNCTION("""COMPUTED_VALUE"""),0.0)</f>
        <v>0</v>
      </c>
      <c r="L13" s="46">
        <f>IFERROR(__xludf.DUMMYFUNCTION("""COMPUTED_VALUE"""),0.0)</f>
        <v>0</v>
      </c>
      <c r="M13" s="46">
        <f>IFERROR(__xludf.DUMMYFUNCTION("""COMPUTED_VALUE"""),0.0)</f>
        <v>0</v>
      </c>
      <c r="N13" s="46">
        <f>IFERROR(__xludf.DUMMYFUNCTION("""COMPUTED_VALUE"""),0.0)</f>
        <v>0</v>
      </c>
      <c r="O13" s="46">
        <f>IFERROR(__xludf.DUMMYFUNCTION("""COMPUTED_VALUE"""),11000.0)</f>
        <v>11000</v>
      </c>
      <c r="P13" s="47">
        <f>IFERROR(__xludf.DUMMYFUNCTION("""COMPUTED_VALUE"""),7.106259674809159E-6)</f>
        <v>0.000007106259675</v>
      </c>
      <c r="Q13" s="16"/>
    </row>
    <row r="14" ht="15.0" customHeight="1">
      <c r="A14" s="3"/>
      <c r="B14" s="46">
        <f>IFERROR(__xludf.DUMMYFUNCTION("""COMPUTED_VALUE"""),0.0)</f>
        <v>0</v>
      </c>
      <c r="C14" s="46">
        <f>IFERROR(__xludf.DUMMYFUNCTION("""COMPUTED_VALUE"""),0.0)</f>
        <v>0</v>
      </c>
      <c r="D14" s="46">
        <f>IFERROR(__xludf.DUMMYFUNCTION("""COMPUTED_VALUE"""),0.0)</f>
        <v>0</v>
      </c>
      <c r="E14" s="46">
        <f>IFERROR(__xludf.DUMMYFUNCTION("""COMPUTED_VALUE"""),0.0)</f>
        <v>0</v>
      </c>
      <c r="F14" s="46">
        <f>IFERROR(__xludf.DUMMYFUNCTION("""COMPUTED_VALUE"""),0.0)</f>
        <v>0</v>
      </c>
      <c r="G14" s="46">
        <f>IFERROR(__xludf.DUMMYFUNCTION("""COMPUTED_VALUE"""),0.0)</f>
        <v>0</v>
      </c>
      <c r="H14" s="24"/>
      <c r="I14" s="46">
        <f>IFERROR(__xludf.DUMMYFUNCTION("""COMPUTED_VALUE"""),0.0)</f>
        <v>0</v>
      </c>
      <c r="J14" s="46">
        <f>IFERROR(__xludf.DUMMYFUNCTION("""COMPUTED_VALUE"""),0.0)</f>
        <v>0</v>
      </c>
      <c r="K14" s="46">
        <f>IFERROR(__xludf.DUMMYFUNCTION("""COMPUTED_VALUE"""),0.0)</f>
        <v>0</v>
      </c>
      <c r="L14" s="46">
        <f>IFERROR(__xludf.DUMMYFUNCTION("""COMPUTED_VALUE"""),0.0)</f>
        <v>0</v>
      </c>
      <c r="M14" s="46">
        <f>IFERROR(__xludf.DUMMYFUNCTION("""COMPUTED_VALUE"""),0.0)</f>
        <v>0</v>
      </c>
      <c r="N14" s="46">
        <f>IFERROR(__xludf.DUMMYFUNCTION("""COMPUTED_VALUE"""),0.0)</f>
        <v>0</v>
      </c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46">
        <f>IFERROR(__xludf.DUMMYFUNCTION("""COMPUTED_VALUE"""),0.0)</f>
        <v>0</v>
      </c>
      <c r="C15" s="46">
        <f>IFERROR(__xludf.DUMMYFUNCTION("""COMPUTED_VALUE"""),0.0)</f>
        <v>0</v>
      </c>
      <c r="D15" s="46">
        <f>IFERROR(__xludf.DUMMYFUNCTION("""COMPUTED_VALUE"""),0.0)</f>
        <v>0</v>
      </c>
      <c r="E15" s="46">
        <f>IFERROR(__xludf.DUMMYFUNCTION("""COMPUTED_VALUE"""),0.0)</f>
        <v>0</v>
      </c>
      <c r="F15" s="46">
        <f>IFERROR(__xludf.DUMMYFUNCTION("""COMPUTED_VALUE"""),0.0)</f>
        <v>0</v>
      </c>
      <c r="G15" s="46">
        <f>IFERROR(__xludf.DUMMYFUNCTION("""COMPUTED_VALUE"""),0.0)</f>
        <v>0</v>
      </c>
      <c r="H15" s="24"/>
      <c r="I15" s="46">
        <f>IFERROR(__xludf.DUMMYFUNCTION("""COMPUTED_VALUE"""),0.0)</f>
        <v>0</v>
      </c>
      <c r="J15" s="46">
        <f>IFERROR(__xludf.DUMMYFUNCTION("""COMPUTED_VALUE"""),0.0)</f>
        <v>0</v>
      </c>
      <c r="K15" s="46">
        <f>IFERROR(__xludf.DUMMYFUNCTION("""COMPUTED_VALUE"""),0.0)</f>
        <v>0</v>
      </c>
      <c r="L15" s="46">
        <f>IFERROR(__xludf.DUMMYFUNCTION("""COMPUTED_VALUE"""),0.0)</f>
        <v>0</v>
      </c>
      <c r="M15" s="46">
        <f>IFERROR(__xludf.DUMMYFUNCTION("""COMPUTED_VALUE"""),0.0)</f>
        <v>0</v>
      </c>
      <c r="N15" s="46">
        <f>IFERROR(__xludf.DUMMYFUNCTION("""COMPUTED_VALUE"""),0.0)</f>
        <v>0</v>
      </c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IFERROR(__xludf.DUMMYFUNCTION("""COMPUTED_VALUE"""),3.8594464E7)</f>
        <v>38594464</v>
      </c>
      <c r="C16" s="44">
        <f>IFERROR(__xludf.DUMMYFUNCTION("""COMPUTED_VALUE"""),5.3050464E7)</f>
        <v>53050464</v>
      </c>
      <c r="D16" s="44">
        <f>IFERROR(__xludf.DUMMYFUNCTION("""COMPUTED_VALUE"""),6.0886497E7)</f>
        <v>60886497</v>
      </c>
      <c r="E16" s="44">
        <f>IFERROR(__xludf.DUMMYFUNCTION("""COMPUTED_VALUE"""),5.0183269E7)</f>
        <v>50183269</v>
      </c>
      <c r="F16" s="44">
        <f>IFERROR(__xludf.DUMMYFUNCTION("""COMPUTED_VALUE"""),4.5609638E7)</f>
        <v>45609638</v>
      </c>
      <c r="G16" s="44">
        <f>IFERROR(__xludf.DUMMYFUNCTION("""COMPUTED_VALUE"""),5.3087561E7)</f>
        <v>53087561</v>
      </c>
      <c r="H16" s="24"/>
      <c r="I16" s="44">
        <f>IFERROR(__xludf.DUMMYFUNCTION("""COMPUTED_VALUE"""),6.2878338E7)</f>
        <v>62878338</v>
      </c>
      <c r="J16" s="44">
        <f>IFERROR(__xludf.DUMMYFUNCTION("""COMPUTED_VALUE"""),6.3245731E7)</f>
        <v>63245731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IFERROR(__xludf.DUMMYFUNCTION("""COMPUTED_VALUE"""),4.27535962E8)</f>
        <v>427535962</v>
      </c>
      <c r="P16" s="45">
        <f>IFERROR(__xludf.DUMMYFUNCTION("""COMPUTED_VALUE"""),0.2761983242083037)</f>
        <v>0.2761983242</v>
      </c>
      <c r="Q16" s="16"/>
    </row>
    <row r="17" ht="16.5" customHeight="1">
      <c r="A17" s="3" t="str">
        <f>IFERROR(__xludf.DUMMYFUNCTION("""COMPUTED_VALUE"""),"Tutor-PE")</f>
        <v>Tutor-PE</v>
      </c>
      <c r="B17" s="46">
        <f>IFERROR(__xludf.DUMMYFUNCTION("""COMPUTED_VALUE"""),1.3338639E7)</f>
        <v>13338639</v>
      </c>
      <c r="C17" s="46">
        <f>IFERROR(__xludf.DUMMYFUNCTION("""COMPUTED_VALUE"""),1.5027052E7)</f>
        <v>15027052</v>
      </c>
      <c r="D17" s="46">
        <f>IFERROR(__xludf.DUMMYFUNCTION("""COMPUTED_VALUE"""),1.6433043E7)</f>
        <v>16433043</v>
      </c>
      <c r="E17" s="46">
        <f>IFERROR(__xludf.DUMMYFUNCTION("""COMPUTED_VALUE"""),1.6482537E7)</f>
        <v>16482537</v>
      </c>
      <c r="F17" s="46">
        <f>IFERROR(__xludf.DUMMYFUNCTION("""COMPUTED_VALUE"""),1.7364756E7)</f>
        <v>17364756</v>
      </c>
      <c r="G17" s="46">
        <f>IFERROR(__xludf.DUMMYFUNCTION("""COMPUTED_VALUE"""),1.6491133E7)</f>
        <v>16491133</v>
      </c>
      <c r="H17" s="24"/>
      <c r="I17" s="46">
        <f>IFERROR(__xludf.DUMMYFUNCTION("""COMPUTED_VALUE"""),1.8478921E7)</f>
        <v>18478921</v>
      </c>
      <c r="J17" s="46">
        <f>IFERROR(__xludf.DUMMYFUNCTION("""COMPUTED_VALUE"""),1.8274961E7)</f>
        <v>18274961</v>
      </c>
      <c r="K17" s="46">
        <f>IFERROR(__xludf.DUMMYFUNCTION("""COMPUTED_VALUE"""),0.0)</f>
        <v>0</v>
      </c>
      <c r="L17" s="46">
        <f>IFERROR(__xludf.DUMMYFUNCTION("""COMPUTED_VALUE"""),0.0)</f>
        <v>0</v>
      </c>
      <c r="M17" s="46">
        <f>IFERROR(__xludf.DUMMYFUNCTION("""COMPUTED_VALUE"""),0.0)</f>
        <v>0</v>
      </c>
      <c r="N17" s="46">
        <f>IFERROR(__xludf.DUMMYFUNCTION("""COMPUTED_VALUE"""),0.0)</f>
        <v>0</v>
      </c>
      <c r="O17" s="46">
        <f>IFERROR(__xludf.DUMMYFUNCTION("""COMPUTED_VALUE"""),1.31891042E8)</f>
        <v>131891042</v>
      </c>
      <c r="P17" s="47">
        <f>IFERROR(__xludf.DUMMYFUNCTION("""COMPUTED_VALUE"""),0.3084911065329283)</f>
        <v>0.3084911065</v>
      </c>
      <c r="Q17" s="16"/>
    </row>
    <row r="18" ht="16.5" customHeight="1">
      <c r="A18" s="3" t="str">
        <f>IFERROR(__xludf.DUMMYFUNCTION("""COMPUTED_VALUE"""),"Global-PE")</f>
        <v>Global-PE</v>
      </c>
      <c r="B18" s="46">
        <f>IFERROR(__xludf.DUMMYFUNCTION("""COMPUTED_VALUE"""),7940430.0)</f>
        <v>7940430</v>
      </c>
      <c r="C18" s="46">
        <f>IFERROR(__xludf.DUMMYFUNCTION("""COMPUTED_VALUE"""),7589638.0)</f>
        <v>7589638</v>
      </c>
      <c r="D18" s="46">
        <f>IFERROR(__xludf.DUMMYFUNCTION("""COMPUTED_VALUE"""),7401260.0)</f>
        <v>7401260</v>
      </c>
      <c r="E18" s="46">
        <f>IFERROR(__xludf.DUMMYFUNCTION("""COMPUTED_VALUE"""),8246451.0)</f>
        <v>8246451</v>
      </c>
      <c r="F18" s="46">
        <f>IFERROR(__xludf.DUMMYFUNCTION("""COMPUTED_VALUE"""),8485545.0)</f>
        <v>8485545</v>
      </c>
      <c r="G18" s="46">
        <f>IFERROR(__xludf.DUMMYFUNCTION("""COMPUTED_VALUE"""),7809479.0)</f>
        <v>7809479</v>
      </c>
      <c r="H18" s="24"/>
      <c r="I18" s="46">
        <f>IFERROR(__xludf.DUMMYFUNCTION("""COMPUTED_VALUE"""),8876977.0)</f>
        <v>8876977</v>
      </c>
      <c r="J18" s="46">
        <f>IFERROR(__xludf.DUMMYFUNCTION("""COMPUTED_VALUE"""),8093720.0)</f>
        <v>8093720</v>
      </c>
      <c r="K18" s="46">
        <f>IFERROR(__xludf.DUMMYFUNCTION("""COMPUTED_VALUE"""),0.0)</f>
        <v>0</v>
      </c>
      <c r="L18" s="46">
        <f>IFERROR(__xludf.DUMMYFUNCTION("""COMPUTED_VALUE"""),0.0)</f>
        <v>0</v>
      </c>
      <c r="M18" s="46">
        <f>IFERROR(__xludf.DUMMYFUNCTION("""COMPUTED_VALUE"""),0.0)</f>
        <v>0</v>
      </c>
      <c r="N18" s="46">
        <f>IFERROR(__xludf.DUMMYFUNCTION("""COMPUTED_VALUE"""),0.0)</f>
        <v>0</v>
      </c>
      <c r="O18" s="46">
        <f>IFERROR(__xludf.DUMMYFUNCTION("""COMPUTED_VALUE"""),6.44435E7)</f>
        <v>64443500</v>
      </c>
      <c r="P18" s="47">
        <f>IFERROR(__xludf.DUMMYFUNCTION("""COMPUTED_VALUE"""),0.15073234938772237)</f>
        <v>0.1507323494</v>
      </c>
      <c r="Q18" s="16"/>
    </row>
    <row r="19" ht="16.5" customHeight="1">
      <c r="A19" s="3" t="str">
        <f>IFERROR(__xludf.DUMMYFUNCTION("""COMPUTED_VALUE"""),"その他-PE")</f>
        <v>その他-PE</v>
      </c>
      <c r="B19" s="46">
        <f>IFERROR(__xludf.DUMMYFUNCTION("""COMPUTED_VALUE"""),0.0)</f>
        <v>0</v>
      </c>
      <c r="C19" s="46">
        <f>IFERROR(__xludf.DUMMYFUNCTION("""COMPUTED_VALUE"""),0.0)</f>
        <v>0</v>
      </c>
      <c r="D19" s="46">
        <f>IFERROR(__xludf.DUMMYFUNCTION("""COMPUTED_VALUE"""),0.0)</f>
        <v>0</v>
      </c>
      <c r="E19" s="46">
        <f>IFERROR(__xludf.DUMMYFUNCTION("""COMPUTED_VALUE"""),0.0)</f>
        <v>0</v>
      </c>
      <c r="F19" s="46">
        <f>IFERROR(__xludf.DUMMYFUNCTION("""COMPUTED_VALUE"""),0.0)</f>
        <v>0</v>
      </c>
      <c r="G19" s="46">
        <f>IFERROR(__xludf.DUMMYFUNCTION("""COMPUTED_VALUE"""),0.0)</f>
        <v>0</v>
      </c>
      <c r="H19" s="24"/>
      <c r="I19" s="46">
        <f>IFERROR(__xludf.DUMMYFUNCTION("""COMPUTED_VALUE"""),0.0)</f>
        <v>0</v>
      </c>
      <c r="J19" s="46">
        <f>IFERROR(__xludf.DUMMYFUNCTION("""COMPUTED_VALUE"""),0.0)</f>
        <v>0</v>
      </c>
      <c r="K19" s="46">
        <f>IFERROR(__xludf.DUMMYFUNCTION("""COMPUTED_VALUE"""),0.0)</f>
        <v>0</v>
      </c>
      <c r="L19" s="46">
        <f>IFERROR(__xludf.DUMMYFUNCTION("""COMPUTED_VALUE"""),0.0)</f>
        <v>0</v>
      </c>
      <c r="M19" s="46">
        <f>IFERROR(__xludf.DUMMYFUNCTION("""COMPUTED_VALUE"""),0.0)</f>
        <v>0</v>
      </c>
      <c r="N19" s="46">
        <f>IFERROR(__xludf.DUMMYFUNCTION("""COMPUTED_VALUE"""),0.0)</f>
        <v>0</v>
      </c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46">
        <f>IFERROR(__xludf.DUMMYFUNCTION("""COMPUTED_VALUE"""),0.0)</f>
        <v>0</v>
      </c>
      <c r="C20" s="46">
        <f>IFERROR(__xludf.DUMMYFUNCTION("""COMPUTED_VALUE"""),0.0)</f>
        <v>0</v>
      </c>
      <c r="D20" s="46">
        <f>IFERROR(__xludf.DUMMYFUNCTION("""COMPUTED_VALUE"""),0.0)</f>
        <v>0</v>
      </c>
      <c r="E20" s="46">
        <f>IFERROR(__xludf.DUMMYFUNCTION("""COMPUTED_VALUE"""),0.0)</f>
        <v>0</v>
      </c>
      <c r="F20" s="46">
        <f>IFERROR(__xludf.DUMMYFUNCTION("""COMPUTED_VALUE"""),0.0)</f>
        <v>0</v>
      </c>
      <c r="G20" s="46">
        <f>IFERROR(__xludf.DUMMYFUNCTION("""COMPUTED_VALUE"""),0.0)</f>
        <v>0</v>
      </c>
      <c r="H20" s="24"/>
      <c r="I20" s="46">
        <f>IFERROR(__xludf.DUMMYFUNCTION("""COMPUTED_VALUE"""),0.0)</f>
        <v>0</v>
      </c>
      <c r="J20" s="46">
        <f>IFERROR(__xludf.DUMMYFUNCTION("""COMPUTED_VALUE"""),0.0)</f>
        <v>0</v>
      </c>
      <c r="K20" s="46">
        <f>IFERROR(__xludf.DUMMYFUNCTION("""COMPUTED_VALUE"""),0.0)</f>
        <v>0</v>
      </c>
      <c r="L20" s="46">
        <f>IFERROR(__xludf.DUMMYFUNCTION("""COMPUTED_VALUE"""),0.0)</f>
        <v>0</v>
      </c>
      <c r="M20" s="46">
        <f>IFERROR(__xludf.DUMMYFUNCTION("""COMPUTED_VALUE"""),0.0)</f>
        <v>0</v>
      </c>
      <c r="N20" s="46">
        <f>IFERROR(__xludf.DUMMYFUNCTION("""COMPUTED_VALUE"""),0.0)</f>
        <v>0</v>
      </c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46">
        <f>IFERROR(__xludf.DUMMYFUNCTION("""COMPUTED_VALUE"""),1.0507721E7)</f>
        <v>10507721</v>
      </c>
      <c r="C21" s="46">
        <f>IFERROR(__xludf.DUMMYFUNCTION("""COMPUTED_VALUE"""),1.5769087E7)</f>
        <v>15769087</v>
      </c>
      <c r="D21" s="46">
        <f>IFERROR(__xludf.DUMMYFUNCTION("""COMPUTED_VALUE"""),1.9570905E7)</f>
        <v>19570905</v>
      </c>
      <c r="E21" s="46">
        <f>IFERROR(__xludf.DUMMYFUNCTION("""COMPUTED_VALUE"""),1.3192411E7)</f>
        <v>13192411</v>
      </c>
      <c r="F21" s="46">
        <f>IFERROR(__xludf.DUMMYFUNCTION("""COMPUTED_VALUE"""),1.0708965E7)</f>
        <v>10708965</v>
      </c>
      <c r="G21" s="46">
        <f>IFERROR(__xludf.DUMMYFUNCTION("""COMPUTED_VALUE"""),1.7170987E7)</f>
        <v>17170987</v>
      </c>
      <c r="H21" s="24"/>
      <c r="I21" s="46">
        <f>IFERROR(__xludf.DUMMYFUNCTION("""COMPUTED_VALUE"""),1.7297693E7)</f>
        <v>17297693</v>
      </c>
      <c r="J21" s="46">
        <f>IFERROR(__xludf.DUMMYFUNCTION("""COMPUTED_VALUE"""),1.8877992E7)</f>
        <v>18877992</v>
      </c>
      <c r="K21" s="46">
        <f>IFERROR(__xludf.DUMMYFUNCTION("""COMPUTED_VALUE"""),0.0)</f>
        <v>0</v>
      </c>
      <c r="L21" s="46">
        <f>IFERROR(__xludf.DUMMYFUNCTION("""COMPUTED_VALUE"""),0.0)</f>
        <v>0</v>
      </c>
      <c r="M21" s="46">
        <f>IFERROR(__xludf.DUMMYFUNCTION("""COMPUTED_VALUE"""),0.0)</f>
        <v>0</v>
      </c>
      <c r="N21" s="46">
        <f>IFERROR(__xludf.DUMMYFUNCTION("""COMPUTED_VALUE"""),0.0)</f>
        <v>0</v>
      </c>
      <c r="O21" s="46">
        <f>IFERROR(__xludf.DUMMYFUNCTION("""COMPUTED_VALUE"""),1.23095761E8)</f>
        <v>123095761</v>
      </c>
      <c r="P21" s="47">
        <f>IFERROR(__xludf.DUMMYFUNCTION("""COMPUTED_VALUE"""),0.28791908036030894)</f>
        <v>0.2879190804</v>
      </c>
      <c r="Q21" s="16"/>
    </row>
    <row r="22" ht="16.5" customHeight="1">
      <c r="A22" s="3" t="str">
        <f>IFERROR(__xludf.DUMMYFUNCTION("""COMPUTED_VALUE"""),"採点OS")</f>
        <v>採点OS</v>
      </c>
      <c r="B22" s="46">
        <f>IFERROR(__xludf.DUMMYFUNCTION("""COMPUTED_VALUE"""),3552536.0)</f>
        <v>3552536</v>
      </c>
      <c r="C22" s="46">
        <f>IFERROR(__xludf.DUMMYFUNCTION("""COMPUTED_VALUE"""),9742968.0)</f>
        <v>9742968</v>
      </c>
      <c r="D22" s="46">
        <f>IFERROR(__xludf.DUMMYFUNCTION("""COMPUTED_VALUE"""),7197670.0)</f>
        <v>7197670</v>
      </c>
      <c r="E22" s="46">
        <f>IFERROR(__xludf.DUMMYFUNCTION("""COMPUTED_VALUE"""),4013038.0)</f>
        <v>4013038</v>
      </c>
      <c r="F22" s="46">
        <f>IFERROR(__xludf.DUMMYFUNCTION("""COMPUTED_VALUE"""),2215039.0)</f>
        <v>2215039</v>
      </c>
      <c r="G22" s="46">
        <f>IFERROR(__xludf.DUMMYFUNCTION("""COMPUTED_VALUE"""),5868166.0)</f>
        <v>5868166</v>
      </c>
      <c r="H22" s="24"/>
      <c r="I22" s="46">
        <f>IFERROR(__xludf.DUMMYFUNCTION("""COMPUTED_VALUE"""),4873012.0)</f>
        <v>4873012</v>
      </c>
      <c r="J22" s="46">
        <f>IFERROR(__xludf.DUMMYFUNCTION("""COMPUTED_VALUE"""),5556099.0)</f>
        <v>5556099</v>
      </c>
      <c r="K22" s="46">
        <f>IFERROR(__xludf.DUMMYFUNCTION("""COMPUTED_VALUE"""),0.0)</f>
        <v>0</v>
      </c>
      <c r="L22" s="46">
        <f>IFERROR(__xludf.DUMMYFUNCTION("""COMPUTED_VALUE"""),0.0)</f>
        <v>0</v>
      </c>
      <c r="M22" s="46">
        <f>IFERROR(__xludf.DUMMYFUNCTION("""COMPUTED_VALUE"""),0.0)</f>
        <v>0</v>
      </c>
      <c r="N22" s="46">
        <f>IFERROR(__xludf.DUMMYFUNCTION("""COMPUTED_VALUE"""),0.0)</f>
        <v>0</v>
      </c>
      <c r="O22" s="46">
        <f>IFERROR(__xludf.DUMMYFUNCTION("""COMPUTED_VALUE"""),4.3018528E7)</f>
        <v>43018528</v>
      </c>
      <c r="P22" s="47">
        <f>IFERROR(__xludf.DUMMYFUNCTION("""COMPUTED_VALUE"""),0.1006196713810007)</f>
        <v>0.1006196714</v>
      </c>
      <c r="Q22" s="16"/>
    </row>
    <row r="23" ht="16.5" customHeight="1">
      <c r="A23" s="3" t="str">
        <f>IFERROR(__xludf.DUMMYFUNCTION("""COMPUTED_VALUE"""),"GEC")</f>
        <v>GEC</v>
      </c>
      <c r="B23" s="46">
        <f>IFERROR(__xludf.DUMMYFUNCTION("""COMPUTED_VALUE"""),3099756.0)</f>
        <v>3099756</v>
      </c>
      <c r="C23" s="46">
        <f>IFERROR(__xludf.DUMMYFUNCTION("""COMPUTED_VALUE"""),3120169.0)</f>
        <v>3120169</v>
      </c>
      <c r="D23" s="46">
        <f>IFERROR(__xludf.DUMMYFUNCTION("""COMPUTED_VALUE"""),6378671.0)</f>
        <v>6378671</v>
      </c>
      <c r="E23" s="46">
        <f>IFERROR(__xludf.DUMMYFUNCTION("""COMPUTED_VALUE"""),6189036.0)</f>
        <v>6189036</v>
      </c>
      <c r="F23" s="46">
        <f>IFERROR(__xludf.DUMMYFUNCTION("""COMPUTED_VALUE"""),5126013.0)</f>
        <v>5126013</v>
      </c>
      <c r="G23" s="46">
        <f>IFERROR(__xludf.DUMMYFUNCTION("""COMPUTED_VALUE"""),2828903.0)</f>
        <v>2828903</v>
      </c>
      <c r="H23" s="24"/>
      <c r="I23" s="46">
        <f>IFERROR(__xludf.DUMMYFUNCTION("""COMPUTED_VALUE"""),1.009854E7)</f>
        <v>10098540</v>
      </c>
      <c r="J23" s="46">
        <f>IFERROR(__xludf.DUMMYFUNCTION("""COMPUTED_VALUE"""),8526388.0)</f>
        <v>8526388</v>
      </c>
      <c r="K23" s="46">
        <f>IFERROR(__xludf.DUMMYFUNCTION("""COMPUTED_VALUE"""),0.0)</f>
        <v>0</v>
      </c>
      <c r="L23" s="46">
        <f>IFERROR(__xludf.DUMMYFUNCTION("""COMPUTED_VALUE"""),0.0)</f>
        <v>0</v>
      </c>
      <c r="M23" s="46">
        <f>IFERROR(__xludf.DUMMYFUNCTION("""COMPUTED_VALUE"""),0.0)</f>
        <v>0</v>
      </c>
      <c r="N23" s="46">
        <f>IFERROR(__xludf.DUMMYFUNCTION("""COMPUTED_VALUE"""),0.0)</f>
        <v>0</v>
      </c>
      <c r="O23" s="46">
        <f>IFERROR(__xludf.DUMMYFUNCTION("""COMPUTED_VALUE"""),4.5367476E7)</f>
        <v>45367476</v>
      </c>
      <c r="P23" s="47">
        <f>IFERROR(__xludf.DUMMYFUNCTION("""COMPUTED_VALUE"""),0.10611382440853011)</f>
        <v>0.1061138244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46">
        <f>IFERROR(__xludf.DUMMYFUNCTION("""COMPUTED_VALUE"""),0.0)</f>
        <v>0</v>
      </c>
      <c r="C24" s="46">
        <f>IFERROR(__xludf.DUMMYFUNCTION("""COMPUTED_VALUE"""),0.0)</f>
        <v>0</v>
      </c>
      <c r="D24" s="46">
        <f>IFERROR(__xludf.DUMMYFUNCTION("""COMPUTED_VALUE"""),0.0)</f>
        <v>0</v>
      </c>
      <c r="E24" s="46">
        <f>IFERROR(__xludf.DUMMYFUNCTION("""COMPUTED_VALUE"""),0.0)</f>
        <v>0</v>
      </c>
      <c r="F24" s="46">
        <f>IFERROR(__xludf.DUMMYFUNCTION("""COMPUTED_VALUE"""),0.0)</f>
        <v>0</v>
      </c>
      <c r="G24" s="46">
        <f>IFERROR(__xludf.DUMMYFUNCTION("""COMPUTED_VALUE"""),0.0)</f>
        <v>0</v>
      </c>
      <c r="H24" s="24"/>
      <c r="I24" s="46">
        <f>IFERROR(__xludf.DUMMYFUNCTION("""COMPUTED_VALUE"""),0.0)</f>
        <v>0</v>
      </c>
      <c r="J24" s="46">
        <f>IFERROR(__xludf.DUMMYFUNCTION("""COMPUTED_VALUE"""),0.0)</f>
        <v>0</v>
      </c>
      <c r="K24" s="46">
        <f>IFERROR(__xludf.DUMMYFUNCTION("""COMPUTED_VALUE"""),0.0)</f>
        <v>0</v>
      </c>
      <c r="L24" s="46">
        <f>IFERROR(__xludf.DUMMYFUNCTION("""COMPUTED_VALUE"""),0.0)</f>
        <v>0</v>
      </c>
      <c r="M24" s="46">
        <f>IFERROR(__xludf.DUMMYFUNCTION("""COMPUTED_VALUE"""),0.0)</f>
        <v>0</v>
      </c>
      <c r="N24" s="46">
        <f>IFERROR(__xludf.DUMMYFUNCTION("""COMPUTED_VALUE"""),0.0)</f>
        <v>0</v>
      </c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46">
        <f>IFERROR(__xludf.DUMMYFUNCTION("""COMPUTED_VALUE"""),155382.0)</f>
        <v>155382</v>
      </c>
      <c r="C25" s="46">
        <f>IFERROR(__xludf.DUMMYFUNCTION("""COMPUTED_VALUE"""),1801550.0)</f>
        <v>1801550</v>
      </c>
      <c r="D25" s="46">
        <f>IFERROR(__xludf.DUMMYFUNCTION("""COMPUTED_VALUE"""),3904948.0)</f>
        <v>3904948</v>
      </c>
      <c r="E25" s="46">
        <f>IFERROR(__xludf.DUMMYFUNCTION("""COMPUTED_VALUE"""),2059796.0)</f>
        <v>2059796</v>
      </c>
      <c r="F25" s="46">
        <f>IFERROR(__xludf.DUMMYFUNCTION("""COMPUTED_VALUE"""),1709320.0)</f>
        <v>1709320</v>
      </c>
      <c r="G25" s="46">
        <f>IFERROR(__xludf.DUMMYFUNCTION("""COMPUTED_VALUE"""),2918893.0)</f>
        <v>2918893</v>
      </c>
      <c r="H25" s="24"/>
      <c r="I25" s="46">
        <f>IFERROR(__xludf.DUMMYFUNCTION("""COMPUTED_VALUE"""),3253195.0)</f>
        <v>3253195</v>
      </c>
      <c r="J25" s="46">
        <f>IFERROR(__xludf.DUMMYFUNCTION("""COMPUTED_VALUE"""),3916571.0)</f>
        <v>3916571</v>
      </c>
      <c r="K25" s="46">
        <f>IFERROR(__xludf.DUMMYFUNCTION("""COMPUTED_VALUE"""),0.0)</f>
        <v>0</v>
      </c>
      <c r="L25" s="46">
        <f>IFERROR(__xludf.DUMMYFUNCTION("""COMPUTED_VALUE"""),0.0)</f>
        <v>0</v>
      </c>
      <c r="M25" s="46">
        <f>IFERROR(__xludf.DUMMYFUNCTION("""COMPUTED_VALUE"""),0.0)</f>
        <v>0</v>
      </c>
      <c r="N25" s="46">
        <f>IFERROR(__xludf.DUMMYFUNCTION("""COMPUTED_VALUE"""),0.0)</f>
        <v>0</v>
      </c>
      <c r="O25" s="46">
        <f>IFERROR(__xludf.DUMMYFUNCTION("""COMPUTED_VALUE"""),1.9719655E7)</f>
        <v>19719655</v>
      </c>
      <c r="P25" s="47">
        <f>IFERROR(__xludf.DUMMYFUNCTION("""COMPUTED_VALUE"""),0.04612396792950952)</f>
        <v>0.04612396793</v>
      </c>
      <c r="Q25" s="16"/>
    </row>
    <row r="26" ht="16.5" customHeight="1">
      <c r="A26" s="3"/>
      <c r="B26" s="46">
        <f>IFERROR(__xludf.DUMMYFUNCTION("""COMPUTED_VALUE"""),0.0)</f>
        <v>0</v>
      </c>
      <c r="C26" s="46">
        <f>IFERROR(__xludf.DUMMYFUNCTION("""COMPUTED_VALUE"""),0.0)</f>
        <v>0</v>
      </c>
      <c r="D26" s="46">
        <f>IFERROR(__xludf.DUMMYFUNCTION("""COMPUTED_VALUE"""),0.0)</f>
        <v>0</v>
      </c>
      <c r="E26" s="46">
        <f>IFERROR(__xludf.DUMMYFUNCTION("""COMPUTED_VALUE"""),0.0)</f>
        <v>0</v>
      </c>
      <c r="F26" s="46">
        <f>IFERROR(__xludf.DUMMYFUNCTION("""COMPUTED_VALUE"""),0.0)</f>
        <v>0</v>
      </c>
      <c r="G26" s="46">
        <f>IFERROR(__xludf.DUMMYFUNCTION("""COMPUTED_VALUE"""),0.0)</f>
        <v>0</v>
      </c>
      <c r="H26" s="24"/>
      <c r="I26" s="46">
        <f>IFERROR(__xludf.DUMMYFUNCTION("""COMPUTED_VALUE"""),0.0)</f>
        <v>0</v>
      </c>
      <c r="J26" s="46">
        <f>IFERROR(__xludf.DUMMYFUNCTION("""COMPUTED_VALUE"""),0.0)</f>
        <v>0</v>
      </c>
      <c r="K26" s="46">
        <f>IFERROR(__xludf.DUMMYFUNCTION("""COMPUTED_VALUE"""),0.0)</f>
        <v>0</v>
      </c>
      <c r="L26" s="46">
        <f>IFERROR(__xludf.DUMMYFUNCTION("""COMPUTED_VALUE"""),0.0)</f>
        <v>0</v>
      </c>
      <c r="M26" s="46">
        <f>IFERROR(__xludf.DUMMYFUNCTION("""COMPUTED_VALUE"""),0.0)</f>
        <v>0</v>
      </c>
      <c r="N26" s="46">
        <f>IFERROR(__xludf.DUMMYFUNCTION("""COMPUTED_VALUE"""),0.0)</f>
        <v>0</v>
      </c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46">
        <f>IFERROR(__xludf.DUMMYFUNCTION("""COMPUTED_VALUE"""),0.0)</f>
        <v>0</v>
      </c>
      <c r="C27" s="46">
        <f>IFERROR(__xludf.DUMMYFUNCTION("""COMPUTED_VALUE"""),0.0)</f>
        <v>0</v>
      </c>
      <c r="D27" s="46">
        <f>IFERROR(__xludf.DUMMYFUNCTION("""COMPUTED_VALUE"""),0.0)</f>
        <v>0</v>
      </c>
      <c r="E27" s="46">
        <f>IFERROR(__xludf.DUMMYFUNCTION("""COMPUTED_VALUE"""),0.0)</f>
        <v>0</v>
      </c>
      <c r="F27" s="46">
        <f>IFERROR(__xludf.DUMMYFUNCTION("""COMPUTED_VALUE"""),0.0)</f>
        <v>0</v>
      </c>
      <c r="G27" s="46">
        <f>IFERROR(__xludf.DUMMYFUNCTION("""COMPUTED_VALUE"""),0.0)</f>
        <v>0</v>
      </c>
      <c r="H27" s="24"/>
      <c r="I27" s="46">
        <f>IFERROR(__xludf.DUMMYFUNCTION("""COMPUTED_VALUE"""),0.0)</f>
        <v>0</v>
      </c>
      <c r="J27" s="46">
        <f>IFERROR(__xludf.DUMMYFUNCTION("""COMPUTED_VALUE"""),0.0)</f>
        <v>0</v>
      </c>
      <c r="K27" s="46">
        <f>IFERROR(__xludf.DUMMYFUNCTION("""COMPUTED_VALUE"""),0.0)</f>
        <v>0</v>
      </c>
      <c r="L27" s="46">
        <f>IFERROR(__xludf.DUMMYFUNCTION("""COMPUTED_VALUE"""),0.0)</f>
        <v>0</v>
      </c>
      <c r="M27" s="46">
        <f>IFERROR(__xludf.DUMMYFUNCTION("""COMPUTED_VALUE"""),0.0)</f>
        <v>0</v>
      </c>
      <c r="N27" s="46">
        <f>IFERROR(__xludf.DUMMYFUNCTION("""COMPUTED_VALUE"""),0.0)</f>
        <v>0</v>
      </c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46">
        <f>IFERROR(__xludf.DUMMYFUNCTION("""COMPUTED_VALUE"""),0.0)</f>
        <v>0</v>
      </c>
      <c r="C28" s="46">
        <f>IFERROR(__xludf.DUMMYFUNCTION("""COMPUTED_VALUE"""),0.0)</f>
        <v>0</v>
      </c>
      <c r="D28" s="46">
        <f>IFERROR(__xludf.DUMMYFUNCTION("""COMPUTED_VALUE"""),0.0)</f>
        <v>0</v>
      </c>
      <c r="E28" s="46">
        <f>IFERROR(__xludf.DUMMYFUNCTION("""COMPUTED_VALUE"""),0.0)</f>
        <v>0</v>
      </c>
      <c r="F28" s="46">
        <f>IFERROR(__xludf.DUMMYFUNCTION("""COMPUTED_VALUE"""),0.0)</f>
        <v>0</v>
      </c>
      <c r="G28" s="46">
        <f>IFERROR(__xludf.DUMMYFUNCTION("""COMPUTED_VALUE"""),0.0)</f>
        <v>0</v>
      </c>
      <c r="H28" s="24"/>
      <c r="I28" s="46">
        <f>IFERROR(__xludf.DUMMYFUNCTION("""COMPUTED_VALUE"""),0.0)</f>
        <v>0</v>
      </c>
      <c r="J28" s="46">
        <f>IFERROR(__xludf.DUMMYFUNCTION("""COMPUTED_VALUE"""),0.0)</f>
        <v>0</v>
      </c>
      <c r="K28" s="46">
        <f>IFERROR(__xludf.DUMMYFUNCTION("""COMPUTED_VALUE"""),0.0)</f>
        <v>0</v>
      </c>
      <c r="L28" s="46">
        <f>IFERROR(__xludf.DUMMYFUNCTION("""COMPUTED_VALUE"""),0.0)</f>
        <v>0</v>
      </c>
      <c r="M28" s="46">
        <f>IFERROR(__xludf.DUMMYFUNCTION("""COMPUTED_VALUE"""),0.0)</f>
        <v>0</v>
      </c>
      <c r="N28" s="46">
        <f>IFERROR(__xludf.DUMMYFUNCTION("""COMPUTED_VALUE"""),0.0)</f>
        <v>0</v>
      </c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IFERROR(__xludf.DUMMYFUNCTION("""COMPUTED_VALUE"""),1.44726145E8)</f>
        <v>144726145</v>
      </c>
      <c r="C29" s="44">
        <f>IFERROR(__xludf.DUMMYFUNCTION("""COMPUTED_VALUE"""),1.52446859E8)</f>
        <v>152446859</v>
      </c>
      <c r="D29" s="44">
        <f>IFERROR(__xludf.DUMMYFUNCTION("""COMPUTED_VALUE"""),2.21757215E8)</f>
        <v>221757215</v>
      </c>
      <c r="E29" s="44">
        <f>IFERROR(__xludf.DUMMYFUNCTION("""COMPUTED_VALUE"""),1.3933339E8)</f>
        <v>139333390</v>
      </c>
      <c r="F29" s="44">
        <f>IFERROR(__xludf.DUMMYFUNCTION("""COMPUTED_VALUE"""),1.21404981E8)</f>
        <v>121404981</v>
      </c>
      <c r="G29" s="44">
        <f>IFERROR(__xludf.DUMMYFUNCTION("""COMPUTED_VALUE"""),1.16422253E8)</f>
        <v>116422253</v>
      </c>
      <c r="H29" s="24"/>
      <c r="I29" s="44">
        <f>IFERROR(__xludf.DUMMYFUNCTION("""COMPUTED_VALUE"""),1.14731286E8)</f>
        <v>114731286</v>
      </c>
      <c r="J29" s="44">
        <f>IFERROR(__xludf.DUMMYFUNCTION("""COMPUTED_VALUE"""),1.09572959E8)</f>
        <v>109572959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IFERROR(__xludf.DUMMYFUNCTION("""COMPUTED_VALUE"""),1.120395088E9)</f>
        <v>1120395088</v>
      </c>
      <c r="P29" s="45">
        <f>IFERROR(__xludf.DUMMYFUNCTION("""COMPUTED_VALUE"""),0.7238016757916963)</f>
        <v>0.7238016758</v>
      </c>
      <c r="Q29" s="16"/>
    </row>
    <row r="30" ht="15.75" customHeight="1">
      <c r="A30" s="3" t="str">
        <f>IFERROR(__xludf.DUMMYFUNCTION("""COMPUTED_VALUE"""),"Tutor-PE")</f>
        <v>Tutor-PE</v>
      </c>
      <c r="B30" s="46">
        <f>IFERROR(__xludf.DUMMYFUNCTION("""COMPUTED_VALUE"""),1.4435772E7)</f>
        <v>14435772</v>
      </c>
      <c r="C30" s="46">
        <f>IFERROR(__xludf.DUMMYFUNCTION("""COMPUTED_VALUE"""),1.5988647E7)</f>
        <v>15988647</v>
      </c>
      <c r="D30" s="46">
        <f>IFERROR(__xludf.DUMMYFUNCTION("""COMPUTED_VALUE"""),1.7413646E7)</f>
        <v>17413646</v>
      </c>
      <c r="E30" s="46">
        <f>IFERROR(__xludf.DUMMYFUNCTION("""COMPUTED_VALUE"""),1.7574554E7)</f>
        <v>17574554</v>
      </c>
      <c r="F30" s="46">
        <f>IFERROR(__xludf.DUMMYFUNCTION("""COMPUTED_VALUE"""),1.8103998E7)</f>
        <v>18103998</v>
      </c>
      <c r="G30" s="46">
        <f>IFERROR(__xludf.DUMMYFUNCTION("""COMPUTED_VALUE"""),1.7442084E7)</f>
        <v>17442084</v>
      </c>
      <c r="H30" s="46"/>
      <c r="I30" s="46">
        <f>IFERROR(__xludf.DUMMYFUNCTION("""COMPUTED_VALUE"""),1.9061196E7)</f>
        <v>19061196</v>
      </c>
      <c r="J30" s="46">
        <f>IFERROR(__xludf.DUMMYFUNCTION("""COMPUTED_VALUE"""),1.8902467E7)</f>
        <v>18902467</v>
      </c>
      <c r="K30" s="46">
        <f>IFERROR(__xludf.DUMMYFUNCTION("""COMPUTED_VALUE"""),0.0)</f>
        <v>0</v>
      </c>
      <c r="L30" s="46">
        <f>IFERROR(__xludf.DUMMYFUNCTION("""COMPUTED_VALUE"""),0.0)</f>
        <v>0</v>
      </c>
      <c r="M30" s="46">
        <f>IFERROR(__xludf.DUMMYFUNCTION("""COMPUTED_VALUE"""),0.0)</f>
        <v>0</v>
      </c>
      <c r="N30" s="46">
        <f>IFERROR(__xludf.DUMMYFUNCTION("""COMPUTED_VALUE"""),0.0)</f>
        <v>0</v>
      </c>
      <c r="O30" s="46">
        <f>IFERROR(__xludf.DUMMYFUNCTION("""COMPUTED_VALUE"""),1.38922364E8)</f>
        <v>138922364</v>
      </c>
      <c r="P30" s="47">
        <f>IFERROR(__xludf.DUMMYFUNCTION("""COMPUTED_VALUE"""),0.12399408520077339)</f>
        <v>0.1239940852</v>
      </c>
      <c r="Q30" s="16"/>
    </row>
    <row r="31" ht="15.75" customHeight="1">
      <c r="A31" s="3" t="str">
        <f>IFERROR(__xludf.DUMMYFUNCTION("""COMPUTED_VALUE"""),"Global-PE")</f>
        <v>Global-PE</v>
      </c>
      <c r="B31" s="46">
        <f>IFERROR(__xludf.DUMMYFUNCTION("""COMPUTED_VALUE"""),1.164022E7)</f>
        <v>11640220</v>
      </c>
      <c r="C31" s="46">
        <f>IFERROR(__xludf.DUMMYFUNCTION("""COMPUTED_VALUE"""),1.1758962E7)</f>
        <v>11758962</v>
      </c>
      <c r="D31" s="46">
        <f>IFERROR(__xludf.DUMMYFUNCTION("""COMPUTED_VALUE"""),1.3513278E7)</f>
        <v>13513278</v>
      </c>
      <c r="E31" s="46">
        <f>IFERROR(__xludf.DUMMYFUNCTION("""COMPUTED_VALUE"""),1.2518637E7)</f>
        <v>12518637</v>
      </c>
      <c r="F31" s="46">
        <f>IFERROR(__xludf.DUMMYFUNCTION("""COMPUTED_VALUE"""),1.2876487E7)</f>
        <v>12876487</v>
      </c>
      <c r="G31" s="46">
        <f>IFERROR(__xludf.DUMMYFUNCTION("""COMPUTED_VALUE"""),1.3408696E7)</f>
        <v>13408696</v>
      </c>
      <c r="H31" s="46"/>
      <c r="I31" s="46">
        <f>IFERROR(__xludf.DUMMYFUNCTION("""COMPUTED_VALUE"""),1.3332623E7)</f>
        <v>13332623</v>
      </c>
      <c r="J31" s="46">
        <f>IFERROR(__xludf.DUMMYFUNCTION("""COMPUTED_VALUE"""),1.3013205E7)</f>
        <v>13013205</v>
      </c>
      <c r="K31" s="46">
        <f>IFERROR(__xludf.DUMMYFUNCTION("""COMPUTED_VALUE"""),0.0)</f>
        <v>0</v>
      </c>
      <c r="L31" s="46">
        <f>IFERROR(__xludf.DUMMYFUNCTION("""COMPUTED_VALUE"""),0.0)</f>
        <v>0</v>
      </c>
      <c r="M31" s="46">
        <f>IFERROR(__xludf.DUMMYFUNCTION("""COMPUTED_VALUE"""),0.0)</f>
        <v>0</v>
      </c>
      <c r="N31" s="46">
        <f>IFERROR(__xludf.DUMMYFUNCTION("""COMPUTED_VALUE"""),0.0)</f>
        <v>0</v>
      </c>
      <c r="O31" s="46">
        <f>IFERROR(__xludf.DUMMYFUNCTION("""COMPUTED_VALUE"""),1.02062108E8)</f>
        <v>102062108</v>
      </c>
      <c r="P31" s="47">
        <f>IFERROR(__xludf.DUMMYFUNCTION("""COMPUTED_VALUE"""),0.09109474781988691)</f>
        <v>0.09109474782</v>
      </c>
      <c r="Q31" s="16"/>
    </row>
    <row r="32" ht="15.75" customHeight="1">
      <c r="A32" s="3" t="str">
        <f>IFERROR(__xludf.DUMMYFUNCTION("""COMPUTED_VALUE"""),"その他-PE")</f>
        <v>その他-PE</v>
      </c>
      <c r="B32" s="46">
        <f>IFERROR(__xludf.DUMMYFUNCTION("""COMPUTED_VALUE"""),0.0)</f>
        <v>0</v>
      </c>
      <c r="C32" s="46">
        <f>IFERROR(__xludf.DUMMYFUNCTION("""COMPUTED_VALUE"""),0.0)</f>
        <v>0</v>
      </c>
      <c r="D32" s="46">
        <f>IFERROR(__xludf.DUMMYFUNCTION("""COMPUTED_VALUE"""),0.0)</f>
        <v>0</v>
      </c>
      <c r="E32" s="46">
        <f>IFERROR(__xludf.DUMMYFUNCTION("""COMPUTED_VALUE"""),0.0)</f>
        <v>0</v>
      </c>
      <c r="F32" s="46">
        <f>IFERROR(__xludf.DUMMYFUNCTION("""COMPUTED_VALUE"""),0.0)</f>
        <v>0</v>
      </c>
      <c r="G32" s="46">
        <f>IFERROR(__xludf.DUMMYFUNCTION("""COMPUTED_VALUE"""),0.0)</f>
        <v>0</v>
      </c>
      <c r="H32" s="46"/>
      <c r="I32" s="46">
        <f>IFERROR(__xludf.DUMMYFUNCTION("""COMPUTED_VALUE"""),0.0)</f>
        <v>0</v>
      </c>
      <c r="J32" s="46">
        <f>IFERROR(__xludf.DUMMYFUNCTION("""COMPUTED_VALUE"""),0.0)</f>
        <v>0</v>
      </c>
      <c r="K32" s="46">
        <f>IFERROR(__xludf.DUMMYFUNCTION("""COMPUTED_VALUE"""),0.0)</f>
        <v>0</v>
      </c>
      <c r="L32" s="46">
        <f>IFERROR(__xludf.DUMMYFUNCTION("""COMPUTED_VALUE"""),0.0)</f>
        <v>0</v>
      </c>
      <c r="M32" s="46">
        <f>IFERROR(__xludf.DUMMYFUNCTION("""COMPUTED_VALUE"""),0.0)</f>
        <v>0</v>
      </c>
      <c r="N32" s="46">
        <f>IFERROR(__xludf.DUMMYFUNCTION("""COMPUTED_VALUE"""),0.0)</f>
        <v>0</v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46">
        <f>IFERROR(__xludf.DUMMYFUNCTION("""COMPUTED_VALUE"""),5.640184E7)</f>
        <v>56401840</v>
      </c>
      <c r="C33" s="46">
        <f>IFERROR(__xludf.DUMMYFUNCTION("""COMPUTED_VALUE"""),8.81364E7)</f>
        <v>88136400</v>
      </c>
      <c r="D33" s="46">
        <f>IFERROR(__xludf.DUMMYFUNCTION("""COMPUTED_VALUE"""),7.56657E7)</f>
        <v>75665700</v>
      </c>
      <c r="E33" s="46">
        <f>IFERROR(__xludf.DUMMYFUNCTION("""COMPUTED_VALUE"""),6.5571135E7)</f>
        <v>65571135</v>
      </c>
      <c r="F33" s="46">
        <f>IFERROR(__xludf.DUMMYFUNCTION("""COMPUTED_VALUE"""),4.9569876E7)</f>
        <v>49569876</v>
      </c>
      <c r="G33" s="46">
        <f>IFERROR(__xludf.DUMMYFUNCTION("""COMPUTED_VALUE"""),4.1359749E7)</f>
        <v>41359749</v>
      </c>
      <c r="H33" s="46"/>
      <c r="I33" s="46">
        <f>IFERROR(__xludf.DUMMYFUNCTION("""COMPUTED_VALUE"""),4.54443E7)</f>
        <v>45444300</v>
      </c>
      <c r="J33" s="46">
        <f>IFERROR(__xludf.DUMMYFUNCTION("""COMPUTED_VALUE"""),3.9849205E7)</f>
        <v>39849205</v>
      </c>
      <c r="K33" s="46">
        <f>IFERROR(__xludf.DUMMYFUNCTION("""COMPUTED_VALUE"""),0.0)</f>
        <v>0</v>
      </c>
      <c r="L33" s="46">
        <f>IFERROR(__xludf.DUMMYFUNCTION("""COMPUTED_VALUE"""),0.0)</f>
        <v>0</v>
      </c>
      <c r="M33" s="46">
        <f>IFERROR(__xludf.DUMMYFUNCTION("""COMPUTED_VALUE"""),0.0)</f>
        <v>0</v>
      </c>
      <c r="N33" s="46">
        <f>IFERROR(__xludf.DUMMYFUNCTION("""COMPUTED_VALUE"""),0.0)</f>
        <v>0</v>
      </c>
      <c r="O33" s="46">
        <f>IFERROR(__xludf.DUMMYFUNCTION("""COMPUTED_VALUE"""),4.61998205E8)</f>
        <v>461998205</v>
      </c>
      <c r="P33" s="47">
        <f>IFERROR(__xludf.DUMMYFUNCTION("""COMPUTED_VALUE"""),0.4123529368775669)</f>
        <v>0.4123529369</v>
      </c>
      <c r="Q33" s="16"/>
    </row>
    <row r="34" ht="15.75" customHeight="1">
      <c r="A34" s="3" t="str">
        <f>IFERROR(__xludf.DUMMYFUNCTION("""COMPUTED_VALUE"""),"放課後支援")</f>
        <v>放課後支援</v>
      </c>
      <c r="B34" s="46">
        <f>IFERROR(__xludf.DUMMYFUNCTION("""COMPUTED_VALUE"""),1.7927426E7)</f>
        <v>17927426</v>
      </c>
      <c r="C34" s="46">
        <f>IFERROR(__xludf.DUMMYFUNCTION("""COMPUTED_VALUE"""),2.03998E7)</f>
        <v>20399800</v>
      </c>
      <c r="D34" s="46">
        <f>IFERROR(__xludf.DUMMYFUNCTION("""COMPUTED_VALUE"""),8.9021365E7)</f>
        <v>89021365</v>
      </c>
      <c r="E34" s="46">
        <f>IFERROR(__xludf.DUMMYFUNCTION("""COMPUTED_VALUE"""),1.9732101E7)</f>
        <v>19732101</v>
      </c>
      <c r="F34" s="46">
        <f>IFERROR(__xludf.DUMMYFUNCTION("""COMPUTED_VALUE"""),2.2696841E7)</f>
        <v>22696841</v>
      </c>
      <c r="G34" s="46">
        <f>IFERROR(__xludf.DUMMYFUNCTION("""COMPUTED_VALUE"""),1.870752E7)</f>
        <v>18707520</v>
      </c>
      <c r="H34" s="46"/>
      <c r="I34" s="46">
        <f>IFERROR(__xludf.DUMMYFUNCTION("""COMPUTED_VALUE"""),1.5119165E7)</f>
        <v>15119165</v>
      </c>
      <c r="J34" s="46">
        <f>IFERROR(__xludf.DUMMYFUNCTION("""COMPUTED_VALUE"""),1.5620974E7)</f>
        <v>15620974</v>
      </c>
      <c r="K34" s="46">
        <f>IFERROR(__xludf.DUMMYFUNCTION("""COMPUTED_VALUE"""),0.0)</f>
        <v>0</v>
      </c>
      <c r="L34" s="46">
        <f>IFERROR(__xludf.DUMMYFUNCTION("""COMPUTED_VALUE"""),0.0)</f>
        <v>0</v>
      </c>
      <c r="M34" s="46">
        <f>IFERROR(__xludf.DUMMYFUNCTION("""COMPUTED_VALUE"""),0.0)</f>
        <v>0</v>
      </c>
      <c r="N34" s="46">
        <f>IFERROR(__xludf.DUMMYFUNCTION("""COMPUTED_VALUE"""),0.0)</f>
        <v>0</v>
      </c>
      <c r="O34" s="46">
        <f>IFERROR(__xludf.DUMMYFUNCTION("""COMPUTED_VALUE"""),2.19225192E8)</f>
        <v>219225192</v>
      </c>
      <c r="P34" s="47">
        <f>IFERROR(__xludf.DUMMYFUNCTION("""COMPUTED_VALUE"""),0.1956677553730939)</f>
        <v>0.1956677554</v>
      </c>
      <c r="Q34" s="16"/>
    </row>
    <row r="35" ht="15.75" customHeight="1">
      <c r="A35" s="3" t="str">
        <f>IFERROR(__xludf.DUMMYFUNCTION("""COMPUTED_VALUE"""),"採点OS")</f>
        <v>採点OS</v>
      </c>
      <c r="B35" s="46">
        <f>IFERROR(__xludf.DUMMYFUNCTION("""COMPUTED_VALUE"""),1712590.0)</f>
        <v>1712590</v>
      </c>
      <c r="C35" s="46">
        <f>IFERROR(__xludf.DUMMYFUNCTION("""COMPUTED_VALUE"""),4958895.0)</f>
        <v>4958895</v>
      </c>
      <c r="D35" s="46">
        <f>IFERROR(__xludf.DUMMYFUNCTION("""COMPUTED_VALUE"""),5981393.0)</f>
        <v>5981393</v>
      </c>
      <c r="E35" s="46">
        <f>IFERROR(__xludf.DUMMYFUNCTION("""COMPUTED_VALUE"""),3219584.0)</f>
        <v>3219584</v>
      </c>
      <c r="F35" s="46">
        <f>IFERROR(__xludf.DUMMYFUNCTION("""COMPUTED_VALUE"""),1360451.0)</f>
        <v>1360451</v>
      </c>
      <c r="G35" s="46">
        <f>IFERROR(__xludf.DUMMYFUNCTION("""COMPUTED_VALUE"""),4107788.0)</f>
        <v>4107788</v>
      </c>
      <c r="H35" s="46"/>
      <c r="I35" s="46">
        <f>IFERROR(__xludf.DUMMYFUNCTION("""COMPUTED_VALUE"""),3393483.0)</f>
        <v>3393483</v>
      </c>
      <c r="J35" s="46">
        <f>IFERROR(__xludf.DUMMYFUNCTION("""COMPUTED_VALUE"""),5161147.0)</f>
        <v>5161147</v>
      </c>
      <c r="K35" s="46">
        <f>IFERROR(__xludf.DUMMYFUNCTION("""COMPUTED_VALUE"""),0.0)</f>
        <v>0</v>
      </c>
      <c r="L35" s="46">
        <f>IFERROR(__xludf.DUMMYFUNCTION("""COMPUTED_VALUE"""),0.0)</f>
        <v>0</v>
      </c>
      <c r="M35" s="46">
        <f>IFERROR(__xludf.DUMMYFUNCTION("""COMPUTED_VALUE"""),0.0)</f>
        <v>0</v>
      </c>
      <c r="N35" s="46">
        <f>IFERROR(__xludf.DUMMYFUNCTION("""COMPUTED_VALUE"""),0.0)</f>
        <v>0</v>
      </c>
      <c r="O35" s="46">
        <f>IFERROR(__xludf.DUMMYFUNCTION("""COMPUTED_VALUE"""),2.9895331E7)</f>
        <v>29895331</v>
      </c>
      <c r="P35" s="47">
        <f>IFERROR(__xludf.DUMMYFUNCTION("""COMPUTED_VALUE"""),0.026682847256467086)</f>
        <v>0.02668284726</v>
      </c>
      <c r="Q35" s="16"/>
    </row>
    <row r="36" ht="15.75" customHeight="1">
      <c r="A36" s="3" t="str">
        <f>IFERROR(__xludf.DUMMYFUNCTION("""COMPUTED_VALUE"""),"GEC")</f>
        <v>GEC</v>
      </c>
      <c r="B36" s="46">
        <f>IFERROR(__xludf.DUMMYFUNCTION("""COMPUTED_VALUE"""),4017962.0)</f>
        <v>4017962</v>
      </c>
      <c r="C36" s="46">
        <f>IFERROR(__xludf.DUMMYFUNCTION("""COMPUTED_VALUE"""),3128691.0)</f>
        <v>3128691</v>
      </c>
      <c r="D36" s="46">
        <f>IFERROR(__xludf.DUMMYFUNCTION("""COMPUTED_VALUE"""),9072139.0)</f>
        <v>9072139</v>
      </c>
      <c r="E36" s="46">
        <f>IFERROR(__xludf.DUMMYFUNCTION("""COMPUTED_VALUE"""),1.0960603E7)</f>
        <v>10960603</v>
      </c>
      <c r="F36" s="46">
        <f>IFERROR(__xludf.DUMMYFUNCTION("""COMPUTED_VALUE"""),6831654.0)</f>
        <v>6831654</v>
      </c>
      <c r="G36" s="46">
        <f>IFERROR(__xludf.DUMMYFUNCTION("""COMPUTED_VALUE"""),4093072.0)</f>
        <v>4093072</v>
      </c>
      <c r="H36" s="46"/>
      <c r="I36" s="46">
        <f>IFERROR(__xludf.DUMMYFUNCTION("""COMPUTED_VALUE"""),1.424521E7)</f>
        <v>14245210</v>
      </c>
      <c r="J36" s="46">
        <f>IFERROR(__xludf.DUMMYFUNCTION("""COMPUTED_VALUE"""),1.233855E7)</f>
        <v>12338550</v>
      </c>
      <c r="K36" s="46">
        <f>IFERROR(__xludf.DUMMYFUNCTION("""COMPUTED_VALUE"""),0.0)</f>
        <v>0</v>
      </c>
      <c r="L36" s="46">
        <f>IFERROR(__xludf.DUMMYFUNCTION("""COMPUTED_VALUE"""),0.0)</f>
        <v>0</v>
      </c>
      <c r="M36" s="46">
        <f>IFERROR(__xludf.DUMMYFUNCTION("""COMPUTED_VALUE"""),0.0)</f>
        <v>0</v>
      </c>
      <c r="N36" s="46">
        <f>IFERROR(__xludf.DUMMYFUNCTION("""COMPUTED_VALUE"""),0.0)</f>
        <v>0</v>
      </c>
      <c r="O36" s="46">
        <f>IFERROR(__xludf.DUMMYFUNCTION("""COMPUTED_VALUE"""),6.4687881E7)</f>
        <v>64687881</v>
      </c>
      <c r="P36" s="47">
        <f>IFERROR(__xludf.DUMMYFUNCTION("""COMPUTED_VALUE"""),0.05773666958454213)</f>
        <v>0.05773666958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46">
        <f>IFERROR(__xludf.DUMMYFUNCTION("""COMPUTED_VALUE"""),2.853576E7)</f>
        <v>28535760</v>
      </c>
      <c r="C37" s="46">
        <f>IFERROR(__xludf.DUMMYFUNCTION("""COMPUTED_VALUE"""),3002945.0)</f>
        <v>3002945</v>
      </c>
      <c r="D37" s="46">
        <f>IFERROR(__xludf.DUMMYFUNCTION("""COMPUTED_VALUE"""),339680.0)</f>
        <v>339680</v>
      </c>
      <c r="E37" s="46">
        <f>IFERROR(__xludf.DUMMYFUNCTION("""COMPUTED_VALUE"""),1065900.0)</f>
        <v>1065900</v>
      </c>
      <c r="F37" s="46">
        <f>IFERROR(__xludf.DUMMYFUNCTION("""COMPUTED_VALUE"""),1682725.0)</f>
        <v>1682725</v>
      </c>
      <c r="G37" s="46">
        <f>IFERROR(__xludf.DUMMYFUNCTION("""COMPUTED_VALUE"""),5760697.0)</f>
        <v>5760697</v>
      </c>
      <c r="H37" s="46"/>
      <c r="I37" s="46">
        <f>IFERROR(__xludf.DUMMYFUNCTION("""COMPUTED_VALUE"""),683100.0)</f>
        <v>683100</v>
      </c>
      <c r="J37" s="46">
        <f>IFERROR(__xludf.DUMMYFUNCTION("""COMPUTED_VALUE"""),2085820.0)</f>
        <v>2085820</v>
      </c>
      <c r="K37" s="46">
        <f>IFERROR(__xludf.DUMMYFUNCTION("""COMPUTED_VALUE"""),0.0)</f>
        <v>0</v>
      </c>
      <c r="L37" s="46">
        <f>IFERROR(__xludf.DUMMYFUNCTION("""COMPUTED_VALUE"""),0.0)</f>
        <v>0</v>
      </c>
      <c r="M37" s="46">
        <f>IFERROR(__xludf.DUMMYFUNCTION("""COMPUTED_VALUE"""),0.0)</f>
        <v>0</v>
      </c>
      <c r="N37" s="46">
        <f>IFERROR(__xludf.DUMMYFUNCTION("""COMPUTED_VALUE"""),0.0)</f>
        <v>0</v>
      </c>
      <c r="O37" s="46">
        <f>IFERROR(__xludf.DUMMYFUNCTION("""COMPUTED_VALUE"""),4.3156627E7)</f>
        <v>43156627</v>
      </c>
      <c r="P37" s="47">
        <f>IFERROR(__xludf.DUMMYFUNCTION("""COMPUTED_VALUE"""),0.03851911478569424)</f>
        <v>0.03851911479</v>
      </c>
      <c r="Q37" s="16"/>
    </row>
    <row r="38" ht="15.75" customHeight="1">
      <c r="A38" s="3" t="str">
        <f>IFERROR(__xludf.DUMMYFUNCTION("""COMPUTED_VALUE"""),"経営投資")</f>
        <v>経営投資</v>
      </c>
      <c r="B38" s="46">
        <f>IFERROR(__xludf.DUMMYFUNCTION("""COMPUTED_VALUE"""),1.0054575E7)</f>
        <v>10054575</v>
      </c>
      <c r="C38" s="46">
        <f>IFERROR(__xludf.DUMMYFUNCTION("""COMPUTED_VALUE"""),5072519.0)</f>
        <v>5072519</v>
      </c>
      <c r="D38" s="46">
        <f>IFERROR(__xludf.DUMMYFUNCTION("""COMPUTED_VALUE"""),1.0739014E7)</f>
        <v>10739014</v>
      </c>
      <c r="E38" s="46">
        <f>IFERROR(__xludf.DUMMYFUNCTION("""COMPUTED_VALUE"""),8690876.0)</f>
        <v>8690876</v>
      </c>
      <c r="F38" s="46">
        <f>IFERROR(__xludf.DUMMYFUNCTION("""COMPUTED_VALUE"""),8282949.0)</f>
        <v>8282949</v>
      </c>
      <c r="G38" s="46">
        <f>IFERROR(__xludf.DUMMYFUNCTION("""COMPUTED_VALUE"""),1.1542647E7)</f>
        <v>11542647</v>
      </c>
      <c r="H38" s="46"/>
      <c r="I38" s="46">
        <f>IFERROR(__xludf.DUMMYFUNCTION("""COMPUTED_VALUE"""),3452209.0)</f>
        <v>3452209</v>
      </c>
      <c r="J38" s="46">
        <f>IFERROR(__xludf.DUMMYFUNCTION("""COMPUTED_VALUE"""),2601591.0)</f>
        <v>2601591</v>
      </c>
      <c r="K38" s="46">
        <f>IFERROR(__xludf.DUMMYFUNCTION("""COMPUTED_VALUE"""),0.0)</f>
        <v>0</v>
      </c>
      <c r="L38" s="46">
        <f>IFERROR(__xludf.DUMMYFUNCTION("""COMPUTED_VALUE"""),0.0)</f>
        <v>0</v>
      </c>
      <c r="M38" s="46">
        <f>IFERROR(__xludf.DUMMYFUNCTION("""COMPUTED_VALUE"""),0.0)</f>
        <v>0</v>
      </c>
      <c r="N38" s="46">
        <f>IFERROR(__xludf.DUMMYFUNCTION("""COMPUTED_VALUE"""),0.0)</f>
        <v>0</v>
      </c>
      <c r="O38" s="46">
        <f>IFERROR(__xludf.DUMMYFUNCTION("""COMPUTED_VALUE"""),6.043638E7)</f>
        <v>60436380</v>
      </c>
      <c r="P38" s="47">
        <f>IFERROR(__xludf.DUMMYFUNCTION("""COMPUTED_VALUE"""),0.0539420251367614)</f>
        <v>0.05394202514</v>
      </c>
      <c r="Q38" s="16"/>
    </row>
    <row r="39" ht="15.75" customHeight="1">
      <c r="A39" s="3" t="str">
        <f>IFERROR(__xludf.DUMMYFUNCTION("""COMPUTED_VALUE"""),"内部送客")</f>
        <v>内部送客</v>
      </c>
      <c r="B39" s="46">
        <f>IFERROR(__xludf.DUMMYFUNCTION("""COMPUTED_VALUE"""),0.0)</f>
        <v>0</v>
      </c>
      <c r="C39" s="46">
        <f>IFERROR(__xludf.DUMMYFUNCTION("""COMPUTED_VALUE"""),0.0)</f>
        <v>0</v>
      </c>
      <c r="D39" s="46">
        <f>IFERROR(__xludf.DUMMYFUNCTION("""COMPUTED_VALUE"""),11000.0)</f>
        <v>11000</v>
      </c>
      <c r="E39" s="46">
        <f>IFERROR(__xludf.DUMMYFUNCTION("""COMPUTED_VALUE"""),0.0)</f>
        <v>0</v>
      </c>
      <c r="F39" s="46">
        <f>IFERROR(__xludf.DUMMYFUNCTION("""COMPUTED_VALUE"""),0.0)</f>
        <v>0</v>
      </c>
      <c r="G39" s="46">
        <f>IFERROR(__xludf.DUMMYFUNCTION("""COMPUTED_VALUE"""),0.0)</f>
        <v>0</v>
      </c>
      <c r="H39" s="46"/>
      <c r="I39" s="46">
        <f>IFERROR(__xludf.DUMMYFUNCTION("""COMPUTED_VALUE"""),0.0)</f>
        <v>0</v>
      </c>
      <c r="J39" s="46">
        <f>IFERROR(__xludf.DUMMYFUNCTION("""COMPUTED_VALUE"""),0.0)</f>
        <v>0</v>
      </c>
      <c r="K39" s="46">
        <f>IFERROR(__xludf.DUMMYFUNCTION("""COMPUTED_VALUE"""),0.0)</f>
        <v>0</v>
      </c>
      <c r="L39" s="46">
        <f>IFERROR(__xludf.DUMMYFUNCTION("""COMPUTED_VALUE"""),0.0)</f>
        <v>0</v>
      </c>
      <c r="M39" s="46">
        <f>IFERROR(__xludf.DUMMYFUNCTION("""COMPUTED_VALUE"""),0.0)</f>
        <v>0</v>
      </c>
      <c r="N39" s="46">
        <f>IFERROR(__xludf.DUMMYFUNCTION("""COMPUTED_VALUE"""),0.0)</f>
        <v>0</v>
      </c>
      <c r="O39" s="46">
        <f>IFERROR(__xludf.DUMMYFUNCTION("""COMPUTED_VALUE"""),11000.0)</f>
        <v>11000</v>
      </c>
      <c r="P39" s="47">
        <f>IFERROR(__xludf.DUMMYFUNCTION("""COMPUTED_VALUE"""),9.817965214070985E-6)</f>
        <v>0.000009817965214</v>
      </c>
      <c r="Q39" s="16"/>
    </row>
    <row r="40" ht="15.75" customHeight="1">
      <c r="A40" s="3"/>
      <c r="B40" s="46">
        <f>IFERROR(__xludf.DUMMYFUNCTION("""COMPUTED_VALUE"""),0.0)</f>
        <v>0</v>
      </c>
      <c r="C40" s="46">
        <f>IFERROR(__xludf.DUMMYFUNCTION("""COMPUTED_VALUE"""),0.0)</f>
        <v>0</v>
      </c>
      <c r="D40" s="46">
        <f>IFERROR(__xludf.DUMMYFUNCTION("""COMPUTED_VALUE"""),0.0)</f>
        <v>0</v>
      </c>
      <c r="E40" s="46">
        <f>IFERROR(__xludf.DUMMYFUNCTION("""COMPUTED_VALUE"""),0.0)</f>
        <v>0</v>
      </c>
      <c r="F40" s="46">
        <f>IFERROR(__xludf.DUMMYFUNCTION("""COMPUTED_VALUE"""),0.0)</f>
        <v>0</v>
      </c>
      <c r="G40" s="46">
        <f>IFERROR(__xludf.DUMMYFUNCTION("""COMPUTED_VALUE"""),0.0)</f>
        <v>0</v>
      </c>
      <c r="H40" s="46"/>
      <c r="I40" s="46">
        <f>IFERROR(__xludf.DUMMYFUNCTION("""COMPUTED_VALUE"""),0.0)</f>
        <v>0</v>
      </c>
      <c r="J40" s="46">
        <f>IFERROR(__xludf.DUMMYFUNCTION("""COMPUTED_VALUE"""),0.0)</f>
        <v>0</v>
      </c>
      <c r="K40" s="46">
        <f>IFERROR(__xludf.DUMMYFUNCTION("""COMPUTED_VALUE"""),0.0)</f>
        <v>0</v>
      </c>
      <c r="L40" s="46">
        <f>IFERROR(__xludf.DUMMYFUNCTION("""COMPUTED_VALUE"""),0.0)</f>
        <v>0</v>
      </c>
      <c r="M40" s="46">
        <f>IFERROR(__xludf.DUMMYFUNCTION("""COMPUTED_VALUE"""),0.0)</f>
        <v>0</v>
      </c>
      <c r="N40" s="46">
        <f>IFERROR(__xludf.DUMMYFUNCTION("""COMPUTED_VALUE"""),0.0)</f>
        <v>0</v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46">
        <f>IFERROR(__xludf.DUMMYFUNCTION("""COMPUTED_VALUE"""),0.0)</f>
        <v>0</v>
      </c>
      <c r="C41" s="46">
        <f>IFERROR(__xludf.DUMMYFUNCTION("""COMPUTED_VALUE"""),0.0)</f>
        <v>0</v>
      </c>
      <c r="D41" s="46">
        <f>IFERROR(__xludf.DUMMYFUNCTION("""COMPUTED_VALUE"""),0.0)</f>
        <v>0</v>
      </c>
      <c r="E41" s="46">
        <f>IFERROR(__xludf.DUMMYFUNCTION("""COMPUTED_VALUE"""),0.0)</f>
        <v>0</v>
      </c>
      <c r="F41" s="46">
        <f>IFERROR(__xludf.DUMMYFUNCTION("""COMPUTED_VALUE"""),0.0)</f>
        <v>0</v>
      </c>
      <c r="G41" s="46">
        <f>IFERROR(__xludf.DUMMYFUNCTION("""COMPUTED_VALUE"""),0.0)</f>
        <v>0</v>
      </c>
      <c r="H41" s="46"/>
      <c r="I41" s="46">
        <f>IFERROR(__xludf.DUMMYFUNCTION("""COMPUTED_VALUE"""),0.0)</f>
        <v>0</v>
      </c>
      <c r="J41" s="46">
        <f>IFERROR(__xludf.DUMMYFUNCTION("""COMPUTED_VALUE"""),0.0)</f>
        <v>0</v>
      </c>
      <c r="K41" s="46">
        <f>IFERROR(__xludf.DUMMYFUNCTION("""COMPUTED_VALUE"""),0.0)</f>
        <v>0</v>
      </c>
      <c r="L41" s="46">
        <f>IFERROR(__xludf.DUMMYFUNCTION("""COMPUTED_VALUE"""),0.0)</f>
        <v>0</v>
      </c>
      <c r="M41" s="46">
        <f>IFERROR(__xludf.DUMMYFUNCTION("""COMPUTED_VALUE"""),0.0)</f>
        <v>0</v>
      </c>
      <c r="N41" s="46">
        <f>IFERROR(__xludf.DUMMYFUNCTION("""COMPUTED_VALUE"""),0.0)</f>
        <v>0</v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IFERROR(__xludf.DUMMYFUNCTION("""COMPUTED_VALUE"""),0.789470129896852)</f>
        <v>0.7894701299</v>
      </c>
      <c r="C42" s="49">
        <f>IFERROR(__xludf.DUMMYFUNCTION("""COMPUTED_VALUE"""),0.7418435275675099)</f>
        <v>0.7418435276</v>
      </c>
      <c r="D42" s="49">
        <f>IFERROR(__xludf.DUMMYFUNCTION("""COMPUTED_VALUE"""),0.7845821632854865)</f>
        <v>0.7845821633</v>
      </c>
      <c r="E42" s="49">
        <f>IFERROR(__xludf.DUMMYFUNCTION("""COMPUTED_VALUE"""),0.7352039168229533)</f>
        <v>0.7352039168</v>
      </c>
      <c r="F42" s="49">
        <f>IFERROR(__xludf.DUMMYFUNCTION("""COMPUTED_VALUE"""),0.7269123010124042)</f>
        <v>0.726912301</v>
      </c>
      <c r="G42" s="49">
        <f>IFERROR(__xludf.DUMMYFUNCTION("""COMPUTED_VALUE"""),0.6868171833401929)</f>
        <v>0.6868171833</v>
      </c>
      <c r="H42" s="16"/>
      <c r="I42" s="49">
        <f>IFERROR(__xludf.DUMMYFUNCTION("""COMPUTED_VALUE"""),0.6459744884094795)</f>
        <v>0.6459744884</v>
      </c>
      <c r="J42" s="49">
        <f>IFERROR(__xludf.DUMMYFUNCTION("""COMPUTED_VALUE"""),0.6340341950283271)</f>
        <v>0.634034195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/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IFERROR(__xludf.DUMMYFUNCTION("""COMPUTED_VALUE"""),1.3564964918181816E8)</f>
        <v>135649649.2</v>
      </c>
      <c r="C44" s="44">
        <f>IFERROR(__xludf.DUMMYFUNCTION("""COMPUTED_VALUE"""),1.21543353E8)</f>
        <v>121543353</v>
      </c>
      <c r="D44" s="44">
        <f>IFERROR(__xludf.DUMMYFUNCTION("""COMPUTED_VALUE"""),1.45820691E8)</f>
        <v>145820691</v>
      </c>
      <c r="E44" s="44">
        <f>IFERROR(__xludf.DUMMYFUNCTION("""COMPUTED_VALUE"""),1.1502124627272727E8)</f>
        <v>115021246.3</v>
      </c>
      <c r="F44" s="44">
        <f>IFERROR(__xludf.DUMMYFUNCTION("""COMPUTED_VALUE"""),1.1384492327272728E8)</f>
        <v>113844923.3</v>
      </c>
      <c r="G44" s="44">
        <f>IFERROR(__xludf.DUMMYFUNCTION("""COMPUTED_VALUE"""),1.0705924472727273E8)</f>
        <v>107059244.7</v>
      </c>
      <c r="H44" s="24"/>
      <c r="I44" s="44">
        <f>IFERROR(__xludf.DUMMYFUNCTION("""COMPUTED_VALUE"""),1.0673689072727273E8)</f>
        <v>106736890.7</v>
      </c>
      <c r="J44" s="44">
        <f>IFERROR(__xludf.DUMMYFUNCTION("""COMPUTED_VALUE"""),1.020214990909091E8)</f>
        <v>102021499.1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IFERROR(__xludf.DUMMYFUNCTION("""COMPUTED_VALUE"""),9.476974972727273E8)</f>
        <v>947697497.3</v>
      </c>
      <c r="P44" s="45">
        <f>IFERROR(__xludf.DUMMYFUNCTION("""COMPUTED_VALUE"""),0.6122349553442495)</f>
        <v>0.6122349553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IFERROR(__xludf.DUMMYFUNCTION("""COMPUTED_VALUE"""),1.3276649E7)</f>
        <v>13276649</v>
      </c>
      <c r="C45" s="46">
        <f>IFERROR(__xludf.DUMMYFUNCTION("""COMPUTED_VALUE"""),8312580.0)</f>
        <v>8312580</v>
      </c>
      <c r="D45" s="46">
        <f>IFERROR(__xludf.DUMMYFUNCTION("""COMPUTED_VALUE"""),7719026.0)</f>
        <v>7719026</v>
      </c>
      <c r="E45" s="46">
        <f>IFERROR(__xludf.DUMMYFUNCTION("""COMPUTED_VALUE"""),8238420.0)</f>
        <v>8238420</v>
      </c>
      <c r="F45" s="46">
        <f>IFERROR(__xludf.DUMMYFUNCTION("""COMPUTED_VALUE"""),7329999.0)</f>
        <v>7329999</v>
      </c>
      <c r="G45" s="46">
        <f>IFERROR(__xludf.DUMMYFUNCTION("""COMPUTED_VALUE"""),6928727.0)</f>
        <v>6928727</v>
      </c>
      <c r="H45" s="24"/>
      <c r="I45" s="46">
        <f>IFERROR(__xludf.DUMMYFUNCTION("""COMPUTED_VALUE"""),7227702.0)</f>
        <v>7227702</v>
      </c>
      <c r="J45" s="46">
        <f>IFERROR(__xludf.DUMMYFUNCTION("""COMPUTED_VALUE"""),8471251.0)</f>
        <v>8471251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IFERROR(__xludf.DUMMYFUNCTION("""COMPUTED_VALUE"""),6.7504354E7)</f>
        <v>67504354</v>
      </c>
      <c r="P45" s="47">
        <f>IFERROR(__xludf.DUMMYFUNCTION("""COMPUTED_VALUE"""),0.0712298536128493)</f>
        <v>0.07122985361</v>
      </c>
      <c r="Q45" s="16"/>
    </row>
    <row r="46" ht="15.75" customHeight="1">
      <c r="A46" s="51" t="str">
        <f>IFERROR(__xludf.DUMMYFUNCTION("""COMPUTED_VALUE"""),"電話料金")</f>
        <v>電話料金</v>
      </c>
      <c r="B46" s="52">
        <f>IFERROR(__xludf.DUMMYFUNCTION("""COMPUTED_VALUE"""),335618.0)</f>
        <v>335618</v>
      </c>
      <c r="C46" s="52">
        <f>IFERROR(__xludf.DUMMYFUNCTION("""COMPUTED_VALUE"""),373271.0)</f>
        <v>373271</v>
      </c>
      <c r="D46" s="52">
        <f>IFERROR(__xludf.DUMMYFUNCTION("""COMPUTED_VALUE"""),365377.0)</f>
        <v>365377</v>
      </c>
      <c r="E46" s="52">
        <f>IFERROR(__xludf.DUMMYFUNCTION("""COMPUTED_VALUE"""),328147.0)</f>
        <v>328147</v>
      </c>
      <c r="F46" s="52">
        <f>IFERROR(__xludf.DUMMYFUNCTION("""COMPUTED_VALUE"""),323006.0)</f>
        <v>323006</v>
      </c>
      <c r="G46" s="52">
        <f>IFERROR(__xludf.DUMMYFUNCTION("""COMPUTED_VALUE"""),326717.0)</f>
        <v>326717</v>
      </c>
      <c r="H46" s="24"/>
      <c r="I46" s="52">
        <f>IFERROR(__xludf.DUMMYFUNCTION("""COMPUTED_VALUE"""),334761.0)</f>
        <v>334761</v>
      </c>
      <c r="J46" s="52">
        <f>IFERROR(__xludf.DUMMYFUNCTION("""COMPUTED_VALUE"""),330896.0)</f>
        <v>330896</v>
      </c>
      <c r="K46" s="52">
        <f>IFERROR(__xludf.DUMMYFUNCTION("""COMPUTED_VALUE"""),0.0)</f>
        <v>0</v>
      </c>
      <c r="L46" s="52">
        <f>IFERROR(__xludf.DUMMYFUNCTION("""COMPUTED_VALUE"""),0.0)</f>
        <v>0</v>
      </c>
      <c r="M46" s="52">
        <f>IFERROR(__xludf.DUMMYFUNCTION("""COMPUTED_VALUE"""),0.0)</f>
        <v>0</v>
      </c>
      <c r="N46" s="52">
        <f>IFERROR(__xludf.DUMMYFUNCTION("""COMPUTED_VALUE"""),0.0)</f>
        <v>0</v>
      </c>
      <c r="O46" s="52">
        <f>IFERROR(__xludf.DUMMYFUNCTION("""COMPUTED_VALUE"""),2717793.0)</f>
        <v>2717793</v>
      </c>
      <c r="P46" s="53">
        <f>IFERROR(__xludf.DUMMYFUNCTION("""COMPUTED_VALUE"""),0.04026100301619063)</f>
        <v>0.04026100302</v>
      </c>
      <c r="Q46" s="16"/>
    </row>
    <row r="47" ht="15.75" customHeight="1">
      <c r="A47" s="51" t="str">
        <f>IFERROR(__xludf.DUMMYFUNCTION("""COMPUTED_VALUE"""),"送料")</f>
        <v>送料</v>
      </c>
      <c r="B47" s="52">
        <f>IFERROR(__xludf.DUMMYFUNCTION("""COMPUTED_VALUE"""),82997.0)</f>
        <v>82997</v>
      </c>
      <c r="C47" s="52">
        <f>IFERROR(__xludf.DUMMYFUNCTION("""COMPUTED_VALUE"""),81488.0)</f>
        <v>81488</v>
      </c>
      <c r="D47" s="52">
        <f>IFERROR(__xludf.DUMMYFUNCTION("""COMPUTED_VALUE"""),77751.0)</f>
        <v>77751</v>
      </c>
      <c r="E47" s="52">
        <f>IFERROR(__xludf.DUMMYFUNCTION("""COMPUTED_VALUE"""),48993.0)</f>
        <v>48993</v>
      </c>
      <c r="F47" s="52">
        <f>IFERROR(__xludf.DUMMYFUNCTION("""COMPUTED_VALUE"""),49329.0)</f>
        <v>49329</v>
      </c>
      <c r="G47" s="52">
        <f>IFERROR(__xludf.DUMMYFUNCTION("""COMPUTED_VALUE"""),83534.0)</f>
        <v>83534</v>
      </c>
      <c r="H47" s="24"/>
      <c r="I47" s="52">
        <f>IFERROR(__xludf.DUMMYFUNCTION("""COMPUTED_VALUE"""),55893.0)</f>
        <v>55893</v>
      </c>
      <c r="J47" s="52">
        <f>IFERROR(__xludf.DUMMYFUNCTION("""COMPUTED_VALUE"""),76951.0)</f>
        <v>76951</v>
      </c>
      <c r="K47" s="52">
        <f>IFERROR(__xludf.DUMMYFUNCTION("""COMPUTED_VALUE"""),0.0)</f>
        <v>0</v>
      </c>
      <c r="L47" s="52">
        <f>IFERROR(__xludf.DUMMYFUNCTION("""COMPUTED_VALUE"""),0.0)</f>
        <v>0</v>
      </c>
      <c r="M47" s="52">
        <f>IFERROR(__xludf.DUMMYFUNCTION("""COMPUTED_VALUE"""),0.0)</f>
        <v>0</v>
      </c>
      <c r="N47" s="52">
        <f>IFERROR(__xludf.DUMMYFUNCTION("""COMPUTED_VALUE"""),0.0)</f>
        <v>0</v>
      </c>
      <c r="O47" s="52">
        <f>IFERROR(__xludf.DUMMYFUNCTION("""COMPUTED_VALUE"""),556936.0)</f>
        <v>556936</v>
      </c>
      <c r="P47" s="53">
        <f>IFERROR(__xludf.DUMMYFUNCTION("""COMPUTED_VALUE"""),0.008250371524183462)</f>
        <v>0.008250371524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52">
        <f>IFERROR(__xludf.DUMMYFUNCTION("""COMPUTED_VALUE"""),1.2618827E7)</f>
        <v>12618827</v>
      </c>
      <c r="C48" s="52">
        <f>IFERROR(__xludf.DUMMYFUNCTION("""COMPUTED_VALUE"""),7818050.0)</f>
        <v>7818050</v>
      </c>
      <c r="D48" s="52">
        <f>IFERROR(__xludf.DUMMYFUNCTION("""COMPUTED_VALUE"""),7273698.0)</f>
        <v>7273698</v>
      </c>
      <c r="E48" s="52">
        <f>IFERROR(__xludf.DUMMYFUNCTION("""COMPUTED_VALUE"""),7859080.0)</f>
        <v>7859080</v>
      </c>
      <c r="F48" s="52">
        <f>IFERROR(__xludf.DUMMYFUNCTION("""COMPUTED_VALUE"""),6955464.0)</f>
        <v>6955464</v>
      </c>
      <c r="G48" s="52">
        <f>IFERROR(__xludf.DUMMYFUNCTION("""COMPUTED_VALUE"""),6516276.0)</f>
        <v>6516276</v>
      </c>
      <c r="H48" s="24"/>
      <c r="I48" s="52">
        <f>IFERROR(__xludf.DUMMYFUNCTION("""COMPUTED_VALUE"""),6834848.0)</f>
        <v>6834848</v>
      </c>
      <c r="J48" s="52">
        <f>IFERROR(__xludf.DUMMYFUNCTION("""COMPUTED_VALUE"""),8061204.0)</f>
        <v>8061204</v>
      </c>
      <c r="K48" s="52">
        <f>IFERROR(__xludf.DUMMYFUNCTION("""COMPUTED_VALUE"""),0.0)</f>
        <v>0</v>
      </c>
      <c r="L48" s="52">
        <f>IFERROR(__xludf.DUMMYFUNCTION("""COMPUTED_VALUE"""),0.0)</f>
        <v>0</v>
      </c>
      <c r="M48" s="52">
        <f>IFERROR(__xludf.DUMMYFUNCTION("""COMPUTED_VALUE"""),0.0)</f>
        <v>0</v>
      </c>
      <c r="N48" s="52">
        <f>IFERROR(__xludf.DUMMYFUNCTION("""COMPUTED_VALUE"""),0.0)</f>
        <v>0</v>
      </c>
      <c r="O48" s="52">
        <f>IFERROR(__xludf.DUMMYFUNCTION("""COMPUTED_VALUE"""),6.3937447E7)</f>
        <v>63937447</v>
      </c>
      <c r="P48" s="53">
        <f>IFERROR(__xludf.DUMMYFUNCTION("""COMPUTED_VALUE"""),0.9471603416869969)</f>
        <v>0.9471603417</v>
      </c>
      <c r="Q48" s="16"/>
    </row>
    <row r="49" ht="15.75" customHeight="1">
      <c r="A49" s="51" t="str">
        <f>IFERROR(__xludf.DUMMYFUNCTION("""COMPUTED_VALUE"""),"その他")</f>
        <v>その他</v>
      </c>
      <c r="B49" s="52">
        <f>IFERROR(__xludf.DUMMYFUNCTION("""COMPUTED_VALUE"""),239207.0)</f>
        <v>239207</v>
      </c>
      <c r="C49" s="52">
        <f>IFERROR(__xludf.DUMMYFUNCTION("""COMPUTED_VALUE"""),39771.0)</f>
        <v>39771</v>
      </c>
      <c r="D49" s="52">
        <f>IFERROR(__xludf.DUMMYFUNCTION("""COMPUTED_VALUE"""),2200.0)</f>
        <v>2200</v>
      </c>
      <c r="E49" s="52">
        <f>IFERROR(__xludf.DUMMYFUNCTION("""COMPUTED_VALUE"""),2200.0)</f>
        <v>2200</v>
      </c>
      <c r="F49" s="52">
        <f>IFERROR(__xludf.DUMMYFUNCTION("""COMPUTED_VALUE"""),2200.0)</f>
        <v>2200</v>
      </c>
      <c r="G49" s="52">
        <f>IFERROR(__xludf.DUMMYFUNCTION("""COMPUTED_VALUE"""),2200.0)</f>
        <v>2200</v>
      </c>
      <c r="H49" s="24"/>
      <c r="I49" s="52">
        <f>IFERROR(__xludf.DUMMYFUNCTION("""COMPUTED_VALUE"""),2200.0)</f>
        <v>2200</v>
      </c>
      <c r="J49" s="52">
        <f>IFERROR(__xludf.DUMMYFUNCTION("""COMPUTED_VALUE"""),2200.0)</f>
        <v>2200</v>
      </c>
      <c r="K49" s="52">
        <f>IFERROR(__xludf.DUMMYFUNCTION("""COMPUTED_VALUE"""),0.0)</f>
        <v>0</v>
      </c>
      <c r="L49" s="52">
        <f>IFERROR(__xludf.DUMMYFUNCTION("""COMPUTED_VALUE"""),0.0)</f>
        <v>0</v>
      </c>
      <c r="M49" s="52">
        <f>IFERROR(__xludf.DUMMYFUNCTION("""COMPUTED_VALUE"""),0.0)</f>
        <v>0</v>
      </c>
      <c r="N49" s="52">
        <f>IFERROR(__xludf.DUMMYFUNCTION("""COMPUTED_VALUE"""),0.0)</f>
        <v>0</v>
      </c>
      <c r="O49" s="52">
        <f>IFERROR(__xludf.DUMMYFUNCTION("""COMPUTED_VALUE"""),292178.0)</f>
        <v>292178</v>
      </c>
      <c r="P49" s="53">
        <f>IFERROR(__xludf.DUMMYFUNCTION("""COMPUTED_VALUE"""),0.004328283772628947)</f>
        <v>0.004328283773</v>
      </c>
      <c r="Q49" s="16"/>
    </row>
    <row r="50" ht="15.75" customHeight="1">
      <c r="A50" s="48" t="str">
        <f>IFERROR(__xludf.DUMMYFUNCTION("""COMPUTED_VALUE"""),"水道光熱費")</f>
        <v>水道光熱費</v>
      </c>
      <c r="B50" s="46">
        <f>IFERROR(__xludf.DUMMYFUNCTION("""COMPUTED_VALUE"""),197951.0)</f>
        <v>197951</v>
      </c>
      <c r="C50" s="46">
        <f>IFERROR(__xludf.DUMMYFUNCTION("""COMPUTED_VALUE"""),185356.0)</f>
        <v>185356</v>
      </c>
      <c r="D50" s="46">
        <f>IFERROR(__xludf.DUMMYFUNCTION("""COMPUTED_VALUE"""),280073.0)</f>
        <v>280073</v>
      </c>
      <c r="E50" s="46">
        <f>IFERROR(__xludf.DUMMYFUNCTION("""COMPUTED_VALUE"""),355070.0)</f>
        <v>355070</v>
      </c>
      <c r="F50" s="46">
        <f>IFERROR(__xludf.DUMMYFUNCTION("""COMPUTED_VALUE"""),382960.0)</f>
        <v>382960</v>
      </c>
      <c r="G50" s="46">
        <f>IFERROR(__xludf.DUMMYFUNCTION("""COMPUTED_VALUE"""),342835.0)</f>
        <v>342835</v>
      </c>
      <c r="H50" s="24"/>
      <c r="I50" s="46">
        <f>IFERROR(__xludf.DUMMYFUNCTION("""COMPUTED_VALUE"""),329338.0)</f>
        <v>329338</v>
      </c>
      <c r="J50" s="46">
        <f>IFERROR(__xludf.DUMMYFUNCTION("""COMPUTED_VALUE"""),228571.0)</f>
        <v>228571</v>
      </c>
      <c r="K50" s="46">
        <f>IFERROR(__xludf.DUMMYFUNCTION("""COMPUTED_VALUE"""),0.0)</f>
        <v>0</v>
      </c>
      <c r="L50" s="46">
        <f>IFERROR(__xludf.DUMMYFUNCTION("""COMPUTED_VALUE"""),0.0)</f>
        <v>0</v>
      </c>
      <c r="M50" s="46">
        <f>IFERROR(__xludf.DUMMYFUNCTION("""COMPUTED_VALUE"""),0.0)</f>
        <v>0</v>
      </c>
      <c r="N50" s="46">
        <f>IFERROR(__xludf.DUMMYFUNCTION("""COMPUTED_VALUE"""),0.0)</f>
        <v>0</v>
      </c>
      <c r="O50" s="46">
        <f>IFERROR(__xludf.DUMMYFUNCTION("""COMPUTED_VALUE"""),2302154.0)</f>
        <v>2302154</v>
      </c>
      <c r="P50" s="47">
        <f>IFERROR(__xludf.DUMMYFUNCTION("""COMPUTED_VALUE"""),0.002429207639172955)</f>
        <v>0.002429207639</v>
      </c>
      <c r="Q50" s="16"/>
    </row>
    <row r="51" ht="15.75" customHeight="1">
      <c r="A51" s="48" t="str">
        <f>IFERROR(__xludf.DUMMYFUNCTION("""COMPUTED_VALUE"""),"旅費交通費")</f>
        <v>旅費交通費</v>
      </c>
      <c r="B51" s="46">
        <f>IFERROR(__xludf.DUMMYFUNCTION("""COMPUTED_VALUE"""),607146.0)</f>
        <v>607146</v>
      </c>
      <c r="C51" s="46">
        <f>IFERROR(__xludf.DUMMYFUNCTION("""COMPUTED_VALUE"""),851181.0)</f>
        <v>851181</v>
      </c>
      <c r="D51" s="46">
        <f>IFERROR(__xludf.DUMMYFUNCTION("""COMPUTED_VALUE"""),1117847.0)</f>
        <v>1117847</v>
      </c>
      <c r="E51" s="46">
        <f>IFERROR(__xludf.DUMMYFUNCTION("""COMPUTED_VALUE"""),1001420.0)</f>
        <v>1001420</v>
      </c>
      <c r="F51" s="46">
        <f>IFERROR(__xludf.DUMMYFUNCTION("""COMPUTED_VALUE"""),949132.0)</f>
        <v>949132</v>
      </c>
      <c r="G51" s="46">
        <f>IFERROR(__xludf.DUMMYFUNCTION("""COMPUTED_VALUE"""),643135.0)</f>
        <v>643135</v>
      </c>
      <c r="H51" s="24"/>
      <c r="I51" s="46">
        <f>IFERROR(__xludf.DUMMYFUNCTION("""COMPUTED_VALUE"""),770934.0)</f>
        <v>770934</v>
      </c>
      <c r="J51" s="46">
        <f>IFERROR(__xludf.DUMMYFUNCTION("""COMPUTED_VALUE"""),677775.0)</f>
        <v>677775</v>
      </c>
      <c r="K51" s="46">
        <f>IFERROR(__xludf.DUMMYFUNCTION("""COMPUTED_VALUE"""),0.0)</f>
        <v>0</v>
      </c>
      <c r="L51" s="46">
        <f>IFERROR(__xludf.DUMMYFUNCTION("""COMPUTED_VALUE"""),0.0)</f>
        <v>0</v>
      </c>
      <c r="M51" s="46">
        <f>IFERROR(__xludf.DUMMYFUNCTION("""COMPUTED_VALUE"""),0.0)</f>
        <v>0</v>
      </c>
      <c r="N51" s="46">
        <f>IFERROR(__xludf.DUMMYFUNCTION("""COMPUTED_VALUE"""),0.0)</f>
        <v>0</v>
      </c>
      <c r="O51" s="46">
        <f>IFERROR(__xludf.DUMMYFUNCTION("""COMPUTED_VALUE"""),6618570.0)</f>
        <v>6618570</v>
      </c>
      <c r="P51" s="47">
        <f>IFERROR(__xludf.DUMMYFUNCTION("""COMPUTED_VALUE"""),0.006983842438169187)</f>
        <v>0.006983842438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IFERROR(__xludf.DUMMYFUNCTION("""COMPUTED_VALUE"""),3.6475744E7)</f>
        <v>36475744</v>
      </c>
      <c r="C52" s="46">
        <f>IFERROR(__xludf.DUMMYFUNCTION("""COMPUTED_VALUE"""),3.1342718E7)</f>
        <v>31342718</v>
      </c>
      <c r="D52" s="46">
        <f>IFERROR(__xludf.DUMMYFUNCTION("""COMPUTED_VALUE"""),2.5454711E7)</f>
        <v>25454711</v>
      </c>
      <c r="E52" s="46">
        <f>IFERROR(__xludf.DUMMYFUNCTION("""COMPUTED_VALUE"""),2.1895473E7)</f>
        <v>21895473</v>
      </c>
      <c r="F52" s="46">
        <f>IFERROR(__xludf.DUMMYFUNCTION("""COMPUTED_VALUE"""),1.8965351E7)</f>
        <v>18965351</v>
      </c>
      <c r="G52" s="46">
        <f>IFERROR(__xludf.DUMMYFUNCTION("""COMPUTED_VALUE"""),1.9356452E7)</f>
        <v>19356452</v>
      </c>
      <c r="H52" s="24"/>
      <c r="I52" s="46">
        <f>IFERROR(__xludf.DUMMYFUNCTION("""COMPUTED_VALUE"""),1.9701523E7)</f>
        <v>19701523</v>
      </c>
      <c r="J52" s="46">
        <f>IFERROR(__xludf.DUMMYFUNCTION("""COMPUTED_VALUE"""),1.4661539E7)</f>
        <v>14661539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IFERROR(__xludf.DUMMYFUNCTION("""COMPUTED_VALUE"""),1.87853511E8)</f>
        <v>187853511</v>
      </c>
      <c r="P52" s="47">
        <f>IFERROR(__xludf.DUMMYFUNCTION("""COMPUTED_VALUE"""),0.19822096348318174)</f>
        <v>0.1982209635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52">
        <f>IFERROR(__xludf.DUMMYFUNCTION("""COMPUTED_VALUE"""),3.0827522E7)</f>
        <v>30827522</v>
      </c>
      <c r="C53" s="52">
        <f>IFERROR(__xludf.DUMMYFUNCTION("""COMPUTED_VALUE"""),2.524488E7)</f>
        <v>25244880</v>
      </c>
      <c r="D53" s="52">
        <f>IFERROR(__xludf.DUMMYFUNCTION("""COMPUTED_VALUE"""),1.9166489E7)</f>
        <v>19166489</v>
      </c>
      <c r="E53" s="52">
        <f>IFERROR(__xludf.DUMMYFUNCTION("""COMPUTED_VALUE"""),1.761985E7)</f>
        <v>17619850</v>
      </c>
      <c r="F53" s="52">
        <f>IFERROR(__xludf.DUMMYFUNCTION("""COMPUTED_VALUE"""),1.530114E7)</f>
        <v>15301140</v>
      </c>
      <c r="G53" s="52">
        <f>IFERROR(__xludf.DUMMYFUNCTION("""COMPUTED_VALUE"""),1.5207461E7)</f>
        <v>15207461</v>
      </c>
      <c r="H53" s="24"/>
      <c r="I53" s="52">
        <f>IFERROR(__xludf.DUMMYFUNCTION("""COMPUTED_VALUE"""),1.2817469E7)</f>
        <v>12817469</v>
      </c>
      <c r="J53" s="52">
        <f>IFERROR(__xludf.DUMMYFUNCTION("""COMPUTED_VALUE"""),9696925.0)</f>
        <v>9696925</v>
      </c>
      <c r="K53" s="52">
        <f>IFERROR(__xludf.DUMMYFUNCTION("""COMPUTED_VALUE"""),0.0)</f>
        <v>0</v>
      </c>
      <c r="L53" s="52">
        <f>IFERROR(__xludf.DUMMYFUNCTION("""COMPUTED_VALUE"""),0.0)</f>
        <v>0</v>
      </c>
      <c r="M53" s="52">
        <f>IFERROR(__xludf.DUMMYFUNCTION("""COMPUTED_VALUE"""),0.0)</f>
        <v>0</v>
      </c>
      <c r="N53" s="52">
        <f>IFERROR(__xludf.DUMMYFUNCTION("""COMPUTED_VALUE"""),0.0)</f>
        <v>0</v>
      </c>
      <c r="O53" s="52">
        <f>IFERROR(__xludf.DUMMYFUNCTION("""COMPUTED_VALUE"""),1.45881736E8)</f>
        <v>145881736</v>
      </c>
      <c r="P53" s="53">
        <f>IFERROR(__xludf.DUMMYFUNCTION("""COMPUTED_VALUE"""),0.7765717831060395)</f>
        <v>0.7765717831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52">
        <f>IFERROR(__xludf.DUMMYFUNCTION("""COMPUTED_VALUE"""),495000.0)</f>
        <v>495000</v>
      </c>
      <c r="C54" s="52">
        <f>IFERROR(__xludf.DUMMYFUNCTION("""COMPUTED_VALUE"""),495000.0)</f>
        <v>495000</v>
      </c>
      <c r="D54" s="52">
        <f>IFERROR(__xludf.DUMMYFUNCTION("""COMPUTED_VALUE"""),495000.0)</f>
        <v>495000</v>
      </c>
      <c r="E54" s="52">
        <f>IFERROR(__xludf.DUMMYFUNCTION("""COMPUTED_VALUE"""),495000.0)</f>
        <v>495000</v>
      </c>
      <c r="F54" s="52">
        <f>IFERROR(__xludf.DUMMYFUNCTION("""COMPUTED_VALUE"""),495000.0)</f>
        <v>495000</v>
      </c>
      <c r="G54" s="52">
        <f>IFERROR(__xludf.DUMMYFUNCTION("""COMPUTED_VALUE"""),495000.0)</f>
        <v>495000</v>
      </c>
      <c r="H54" s="24"/>
      <c r="I54" s="52">
        <f>IFERROR(__xludf.DUMMYFUNCTION("""COMPUTED_VALUE"""),1468500.0)</f>
        <v>1468500</v>
      </c>
      <c r="J54" s="52">
        <f>IFERROR(__xludf.DUMMYFUNCTION("""COMPUTED_VALUE"""),1375000.0)</f>
        <v>1375000</v>
      </c>
      <c r="K54" s="52">
        <f>IFERROR(__xludf.DUMMYFUNCTION("""COMPUTED_VALUE"""),0.0)</f>
        <v>0</v>
      </c>
      <c r="L54" s="52">
        <f>IFERROR(__xludf.DUMMYFUNCTION("""COMPUTED_VALUE"""),0.0)</f>
        <v>0</v>
      </c>
      <c r="M54" s="52">
        <f>IFERROR(__xludf.DUMMYFUNCTION("""COMPUTED_VALUE"""),0.0)</f>
        <v>0</v>
      </c>
      <c r="N54" s="52">
        <f>IFERROR(__xludf.DUMMYFUNCTION("""COMPUTED_VALUE"""),0.0)</f>
        <v>0</v>
      </c>
      <c r="O54" s="52">
        <f>IFERROR(__xludf.DUMMYFUNCTION("""COMPUTED_VALUE"""),5813500.0)</f>
        <v>5813500</v>
      </c>
      <c r="P54" s="53">
        <f>IFERROR(__xludf.DUMMYFUNCTION("""COMPUTED_VALUE"""),0.030946986133253584)</f>
        <v>0.03094698613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52">
        <f>IFERROR(__xludf.DUMMYFUNCTION("""COMPUTED_VALUE"""),343629.0)</f>
        <v>343629</v>
      </c>
      <c r="C55" s="52">
        <f>IFERROR(__xludf.DUMMYFUNCTION("""COMPUTED_VALUE"""),95007.0)</f>
        <v>95007</v>
      </c>
      <c r="D55" s="52">
        <f>IFERROR(__xludf.DUMMYFUNCTION("""COMPUTED_VALUE"""),56045.0)</f>
        <v>56045</v>
      </c>
      <c r="E55" s="52">
        <f>IFERROR(__xludf.DUMMYFUNCTION("""COMPUTED_VALUE"""),36465.0)</f>
        <v>36465</v>
      </c>
      <c r="F55" s="52">
        <f>IFERROR(__xludf.DUMMYFUNCTION("""COMPUTED_VALUE"""),36542.0)</f>
        <v>36542</v>
      </c>
      <c r="G55" s="52">
        <f>IFERROR(__xludf.DUMMYFUNCTION("""COMPUTED_VALUE"""),145165.0)</f>
        <v>145165</v>
      </c>
      <c r="H55" s="24"/>
      <c r="I55" s="52">
        <f>IFERROR(__xludf.DUMMYFUNCTION("""COMPUTED_VALUE"""),164086.0)</f>
        <v>164086</v>
      </c>
      <c r="J55" s="52">
        <f>IFERROR(__xludf.DUMMYFUNCTION("""COMPUTED_VALUE"""),58805.0)</f>
        <v>58805</v>
      </c>
      <c r="K55" s="52">
        <f>IFERROR(__xludf.DUMMYFUNCTION("""COMPUTED_VALUE"""),0.0)</f>
        <v>0</v>
      </c>
      <c r="L55" s="52">
        <f>IFERROR(__xludf.DUMMYFUNCTION("""COMPUTED_VALUE"""),0.0)</f>
        <v>0</v>
      </c>
      <c r="M55" s="52">
        <f>IFERROR(__xludf.DUMMYFUNCTION("""COMPUTED_VALUE"""),0.0)</f>
        <v>0</v>
      </c>
      <c r="N55" s="52">
        <f>IFERROR(__xludf.DUMMYFUNCTION("""COMPUTED_VALUE"""),0.0)</f>
        <v>0</v>
      </c>
      <c r="O55" s="52">
        <f>IFERROR(__xludf.DUMMYFUNCTION("""COMPUTED_VALUE"""),935744.0)</f>
        <v>935744</v>
      </c>
      <c r="P55" s="53">
        <f>IFERROR(__xludf.DUMMYFUNCTION("""COMPUTED_VALUE"""),0.004981243070830867)</f>
        <v>0.004981243071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52">
        <f>IFERROR(__xludf.DUMMYFUNCTION("""COMPUTED_VALUE"""),85334.0)</f>
        <v>85334</v>
      </c>
      <c r="C56" s="52">
        <f>IFERROR(__xludf.DUMMYFUNCTION("""COMPUTED_VALUE"""),51880.0)</f>
        <v>51880</v>
      </c>
      <c r="D56" s="52">
        <f>IFERROR(__xludf.DUMMYFUNCTION("""COMPUTED_VALUE"""),51880.0)</f>
        <v>51880</v>
      </c>
      <c r="E56" s="52">
        <f>IFERROR(__xludf.DUMMYFUNCTION("""COMPUTED_VALUE"""),502880.0)</f>
        <v>502880</v>
      </c>
      <c r="F56" s="52">
        <f>IFERROR(__xludf.DUMMYFUNCTION("""COMPUTED_VALUE"""),51880.0)</f>
        <v>51880</v>
      </c>
      <c r="G56" s="52">
        <f>IFERROR(__xludf.DUMMYFUNCTION("""COMPUTED_VALUE"""),54521.0)</f>
        <v>54521</v>
      </c>
      <c r="H56" s="24"/>
      <c r="I56" s="52">
        <f>IFERROR(__xludf.DUMMYFUNCTION("""COMPUTED_VALUE"""),82500.0)</f>
        <v>82500</v>
      </c>
      <c r="J56" s="52">
        <f>IFERROR(__xludf.DUMMYFUNCTION("""COMPUTED_VALUE"""),0.0)</f>
        <v>0</v>
      </c>
      <c r="K56" s="52">
        <f>IFERROR(__xludf.DUMMYFUNCTION("""COMPUTED_VALUE"""),0.0)</f>
        <v>0</v>
      </c>
      <c r="L56" s="52">
        <f>IFERROR(__xludf.DUMMYFUNCTION("""COMPUTED_VALUE"""),0.0)</f>
        <v>0</v>
      </c>
      <c r="M56" s="52">
        <f>IFERROR(__xludf.DUMMYFUNCTION("""COMPUTED_VALUE"""),0.0)</f>
        <v>0</v>
      </c>
      <c r="N56" s="52">
        <f>IFERROR(__xludf.DUMMYFUNCTION("""COMPUTED_VALUE"""),0.0)</f>
        <v>0</v>
      </c>
      <c r="O56" s="52">
        <f>IFERROR(__xludf.DUMMYFUNCTION("""COMPUTED_VALUE"""),880875.0)</f>
        <v>880875</v>
      </c>
      <c r="P56" s="53">
        <f>IFERROR(__xludf.DUMMYFUNCTION("""COMPUTED_VALUE"""),0.00468915909695188)</f>
        <v>0.004689159097</v>
      </c>
      <c r="Q56" s="16"/>
    </row>
    <row r="57" ht="15.75" customHeight="1">
      <c r="A57" s="51" t="str">
        <f>IFERROR(__xludf.DUMMYFUNCTION("""COMPUTED_VALUE"""),"印刷関連")</f>
        <v>印刷関連</v>
      </c>
      <c r="B57" s="52">
        <f>IFERROR(__xludf.DUMMYFUNCTION("""COMPUTED_VALUE"""),326020.0)</f>
        <v>326020</v>
      </c>
      <c r="C57" s="52">
        <f>IFERROR(__xludf.DUMMYFUNCTION("""COMPUTED_VALUE"""),127103.0)</f>
        <v>127103</v>
      </c>
      <c r="D57" s="52">
        <f>IFERROR(__xludf.DUMMYFUNCTION("""COMPUTED_VALUE"""),67170.0)</f>
        <v>67170</v>
      </c>
      <c r="E57" s="52">
        <f>IFERROR(__xludf.DUMMYFUNCTION("""COMPUTED_VALUE"""),486200.0)</f>
        <v>486200</v>
      </c>
      <c r="F57" s="52">
        <f>IFERROR(__xludf.DUMMYFUNCTION("""COMPUTED_VALUE"""),67320.0)</f>
        <v>67320</v>
      </c>
      <c r="G57" s="52">
        <f>IFERROR(__xludf.DUMMYFUNCTION("""COMPUTED_VALUE"""),55540.0)</f>
        <v>55540</v>
      </c>
      <c r="H57" s="24"/>
      <c r="I57" s="52">
        <f>IFERROR(__xludf.DUMMYFUNCTION("""COMPUTED_VALUE"""),446190.0)</f>
        <v>446190</v>
      </c>
      <c r="J57" s="52">
        <f>IFERROR(__xludf.DUMMYFUNCTION("""COMPUTED_VALUE"""),61849.0)</f>
        <v>61849</v>
      </c>
      <c r="K57" s="52">
        <f>IFERROR(__xludf.DUMMYFUNCTION("""COMPUTED_VALUE"""),0.0)</f>
        <v>0</v>
      </c>
      <c r="L57" s="52">
        <f>IFERROR(__xludf.DUMMYFUNCTION("""COMPUTED_VALUE"""),0.0)</f>
        <v>0</v>
      </c>
      <c r="M57" s="52">
        <f>IFERROR(__xludf.DUMMYFUNCTION("""COMPUTED_VALUE"""),0.0)</f>
        <v>0</v>
      </c>
      <c r="N57" s="52">
        <f>IFERROR(__xludf.DUMMYFUNCTION("""COMPUTED_VALUE"""),0.0)</f>
        <v>0</v>
      </c>
      <c r="O57" s="52">
        <f>IFERROR(__xludf.DUMMYFUNCTION("""COMPUTED_VALUE"""),1637392.0)</f>
        <v>1637392</v>
      </c>
      <c r="P57" s="53">
        <f>IFERROR(__xludf.DUMMYFUNCTION("""COMPUTED_VALUE"""),0.008716323646460885)</f>
        <v>0.008716323646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52">
        <f>IFERROR(__xludf.DUMMYFUNCTION("""COMPUTED_VALUE"""),0.0)</f>
        <v>0</v>
      </c>
      <c r="C58" s="52">
        <f>IFERROR(__xludf.DUMMYFUNCTION("""COMPUTED_VALUE"""),0.0)</f>
        <v>0</v>
      </c>
      <c r="D58" s="52">
        <f>IFERROR(__xludf.DUMMYFUNCTION("""COMPUTED_VALUE"""),0.0)</f>
        <v>0</v>
      </c>
      <c r="E58" s="52">
        <f>IFERROR(__xludf.DUMMYFUNCTION("""COMPUTED_VALUE"""),0.0)</f>
        <v>0</v>
      </c>
      <c r="F58" s="52">
        <f>IFERROR(__xludf.DUMMYFUNCTION("""COMPUTED_VALUE"""),0.0)</f>
        <v>0</v>
      </c>
      <c r="G58" s="52">
        <f>IFERROR(__xludf.DUMMYFUNCTION("""COMPUTED_VALUE"""),0.0)</f>
        <v>0</v>
      </c>
      <c r="H58" s="24"/>
      <c r="I58" s="52">
        <f>IFERROR(__xludf.DUMMYFUNCTION("""COMPUTED_VALUE"""),0.0)</f>
        <v>0</v>
      </c>
      <c r="J58" s="52">
        <f>IFERROR(__xludf.DUMMYFUNCTION("""COMPUTED_VALUE"""),0.0)</f>
        <v>0</v>
      </c>
      <c r="K58" s="52">
        <f>IFERROR(__xludf.DUMMYFUNCTION("""COMPUTED_VALUE"""),0.0)</f>
        <v>0</v>
      </c>
      <c r="L58" s="52">
        <f>IFERROR(__xludf.DUMMYFUNCTION("""COMPUTED_VALUE"""),0.0)</f>
        <v>0</v>
      </c>
      <c r="M58" s="52">
        <f>IFERROR(__xludf.DUMMYFUNCTION("""COMPUTED_VALUE"""),0.0)</f>
        <v>0</v>
      </c>
      <c r="N58" s="52">
        <f>IFERROR(__xludf.DUMMYFUNCTION("""COMPUTED_VALUE"""),0.0)</f>
        <v>0</v>
      </c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52">
        <f>IFERROR(__xludf.DUMMYFUNCTION("""COMPUTED_VALUE"""),4365239.0)</f>
        <v>4365239</v>
      </c>
      <c r="C59" s="52">
        <f>IFERROR(__xludf.DUMMYFUNCTION("""COMPUTED_VALUE"""),5316418.0)</f>
        <v>5316418</v>
      </c>
      <c r="D59" s="52">
        <f>IFERROR(__xludf.DUMMYFUNCTION("""COMPUTED_VALUE"""),3106327.0)</f>
        <v>3106327</v>
      </c>
      <c r="E59" s="52">
        <f>IFERROR(__xludf.DUMMYFUNCTION("""COMPUTED_VALUE"""),2755078.0)</f>
        <v>2755078</v>
      </c>
      <c r="F59" s="52">
        <f>IFERROR(__xludf.DUMMYFUNCTION("""COMPUTED_VALUE"""),2884009.0)</f>
        <v>2884009</v>
      </c>
      <c r="G59" s="52">
        <f>IFERROR(__xludf.DUMMYFUNCTION("""COMPUTED_VALUE"""),2976485.0)</f>
        <v>2976485</v>
      </c>
      <c r="H59" s="24"/>
      <c r="I59" s="52">
        <f>IFERROR(__xludf.DUMMYFUNCTION("""COMPUTED_VALUE"""),4599234.0)</f>
        <v>4599234</v>
      </c>
      <c r="J59" s="52">
        <f>IFERROR(__xludf.DUMMYFUNCTION("""COMPUTED_VALUE"""),3358960.0)</f>
        <v>3358960</v>
      </c>
      <c r="K59" s="52">
        <f>IFERROR(__xludf.DUMMYFUNCTION("""COMPUTED_VALUE"""),0.0)</f>
        <v>0</v>
      </c>
      <c r="L59" s="52">
        <f>IFERROR(__xludf.DUMMYFUNCTION("""COMPUTED_VALUE"""),0.0)</f>
        <v>0</v>
      </c>
      <c r="M59" s="52">
        <f>IFERROR(__xludf.DUMMYFUNCTION("""COMPUTED_VALUE"""),0.0)</f>
        <v>0</v>
      </c>
      <c r="N59" s="52">
        <f>IFERROR(__xludf.DUMMYFUNCTION("""COMPUTED_VALUE"""),0.0)</f>
        <v>0</v>
      </c>
      <c r="O59" s="52">
        <f>IFERROR(__xludf.DUMMYFUNCTION("""COMPUTED_VALUE"""),2.936175E7)</f>
        <v>29361750</v>
      </c>
      <c r="P59" s="53">
        <f>IFERROR(__xludf.DUMMYFUNCTION("""COMPUTED_VALUE"""),0.15630131075910528)</f>
        <v>0.1563013108</v>
      </c>
      <c r="Q59" s="16"/>
    </row>
    <row r="60" ht="15.75" customHeight="1">
      <c r="A60" s="51" t="str">
        <f>IFERROR(__xludf.DUMMYFUNCTION("""COMPUTED_VALUE"""),"その他")</f>
        <v>その他</v>
      </c>
      <c r="B60" s="52">
        <f>IFERROR(__xludf.DUMMYFUNCTION("""COMPUTED_VALUE"""),33000.0)</f>
        <v>33000</v>
      </c>
      <c r="C60" s="52">
        <f>IFERROR(__xludf.DUMMYFUNCTION("""COMPUTED_VALUE"""),12430.0)</f>
        <v>12430</v>
      </c>
      <c r="D60" s="52">
        <f>IFERROR(__xludf.DUMMYFUNCTION("""COMPUTED_VALUE"""),2511800.0)</f>
        <v>2511800</v>
      </c>
      <c r="E60" s="52">
        <f>IFERROR(__xludf.DUMMYFUNCTION("""COMPUTED_VALUE"""),0.0)</f>
        <v>0</v>
      </c>
      <c r="F60" s="52">
        <f>IFERROR(__xludf.DUMMYFUNCTION("""COMPUTED_VALUE"""),129460.0)</f>
        <v>129460</v>
      </c>
      <c r="G60" s="52">
        <f>IFERROR(__xludf.DUMMYFUNCTION("""COMPUTED_VALUE"""),422280.0)</f>
        <v>422280</v>
      </c>
      <c r="H60" s="24"/>
      <c r="I60" s="52">
        <f>IFERROR(__xludf.DUMMYFUNCTION("""COMPUTED_VALUE"""),123544.0)</f>
        <v>123544</v>
      </c>
      <c r="J60" s="52">
        <f>IFERROR(__xludf.DUMMYFUNCTION("""COMPUTED_VALUE"""),110000.0)</f>
        <v>110000</v>
      </c>
      <c r="K60" s="52">
        <f>IFERROR(__xludf.DUMMYFUNCTION("""COMPUTED_VALUE"""),0.0)</f>
        <v>0</v>
      </c>
      <c r="L60" s="52">
        <f>IFERROR(__xludf.DUMMYFUNCTION("""COMPUTED_VALUE"""),0.0)</f>
        <v>0</v>
      </c>
      <c r="M60" s="52">
        <f>IFERROR(__xludf.DUMMYFUNCTION("""COMPUTED_VALUE"""),0.0)</f>
        <v>0</v>
      </c>
      <c r="N60" s="52">
        <f>IFERROR(__xludf.DUMMYFUNCTION("""COMPUTED_VALUE"""),0.0)</f>
        <v>0</v>
      </c>
      <c r="O60" s="52">
        <f>IFERROR(__xludf.DUMMYFUNCTION("""COMPUTED_VALUE"""),3342514.0)</f>
        <v>3342514</v>
      </c>
      <c r="P60" s="53">
        <f>IFERROR(__xludf.DUMMYFUNCTION("""COMPUTED_VALUE"""),0.01779319418735804)</f>
        <v>0.01779319419</v>
      </c>
      <c r="Q60" s="16"/>
    </row>
    <row r="61" ht="15.75" customHeight="1">
      <c r="A61" s="48" t="str">
        <f>IFERROR(__xludf.DUMMYFUNCTION("""COMPUTED_VALUE"""),"研修費")</f>
        <v>研修費</v>
      </c>
      <c r="B61" s="46">
        <f>IFERROR(__xludf.DUMMYFUNCTION("""COMPUTED_VALUE"""),2814835.0)</f>
        <v>2814835</v>
      </c>
      <c r="C61" s="46">
        <f>IFERROR(__xludf.DUMMYFUNCTION("""COMPUTED_VALUE"""),1565550.0)</f>
        <v>1565550</v>
      </c>
      <c r="D61" s="46">
        <f>IFERROR(__xludf.DUMMYFUNCTION("""COMPUTED_VALUE"""),1332905.0)</f>
        <v>1332905</v>
      </c>
      <c r="E61" s="46">
        <f>IFERROR(__xludf.DUMMYFUNCTION("""COMPUTED_VALUE"""),1956761.0)</f>
        <v>1956761</v>
      </c>
      <c r="F61" s="46">
        <f>IFERROR(__xludf.DUMMYFUNCTION("""COMPUTED_VALUE"""),1182235.0)</f>
        <v>1182235</v>
      </c>
      <c r="G61" s="46">
        <f>IFERROR(__xludf.DUMMYFUNCTION("""COMPUTED_VALUE"""),1403284.0)</f>
        <v>1403284</v>
      </c>
      <c r="H61" s="24"/>
      <c r="I61" s="46">
        <f>IFERROR(__xludf.DUMMYFUNCTION("""COMPUTED_VALUE"""),1544921.0)</f>
        <v>1544921</v>
      </c>
      <c r="J61" s="46">
        <f>IFERROR(__xludf.DUMMYFUNCTION("""COMPUTED_VALUE"""),1921744.0)</f>
        <v>1921744</v>
      </c>
      <c r="K61" s="46">
        <f>IFERROR(__xludf.DUMMYFUNCTION("""COMPUTED_VALUE"""),0.0)</f>
        <v>0</v>
      </c>
      <c r="L61" s="46">
        <f>IFERROR(__xludf.DUMMYFUNCTION("""COMPUTED_VALUE"""),0.0)</f>
        <v>0</v>
      </c>
      <c r="M61" s="46">
        <f>IFERROR(__xludf.DUMMYFUNCTION("""COMPUTED_VALUE"""),0.0)</f>
        <v>0</v>
      </c>
      <c r="N61" s="46">
        <f>IFERROR(__xludf.DUMMYFUNCTION("""COMPUTED_VALUE"""),0.0)</f>
        <v>0</v>
      </c>
      <c r="O61" s="46">
        <f>IFERROR(__xludf.DUMMYFUNCTION("""COMPUTED_VALUE"""),1.3722235E7)</f>
        <v>13722235</v>
      </c>
      <c r="P61" s="47">
        <f>IFERROR(__xludf.DUMMYFUNCTION("""COMPUTED_VALUE"""),0.014479551797371721)</f>
        <v>0.0144795518</v>
      </c>
      <c r="Q61" s="16"/>
    </row>
    <row r="62" ht="15.75" customHeight="1">
      <c r="A62" s="48" t="str">
        <f>IFERROR(__xludf.DUMMYFUNCTION("""COMPUTED_VALUE"""),"接待交際費")</f>
        <v>接待交際費</v>
      </c>
      <c r="B62" s="46">
        <f>IFERROR(__xludf.DUMMYFUNCTION("""COMPUTED_VALUE"""),54543.0)</f>
        <v>54543</v>
      </c>
      <c r="C62" s="46">
        <f>IFERROR(__xludf.DUMMYFUNCTION("""COMPUTED_VALUE"""),25262.0)</f>
        <v>25262</v>
      </c>
      <c r="D62" s="46">
        <f>IFERROR(__xludf.DUMMYFUNCTION("""COMPUTED_VALUE"""),144348.0)</f>
        <v>144348</v>
      </c>
      <c r="E62" s="46">
        <f>IFERROR(__xludf.DUMMYFUNCTION("""COMPUTED_VALUE"""),26256.0)</f>
        <v>26256</v>
      </c>
      <c r="F62" s="46">
        <f>IFERROR(__xludf.DUMMYFUNCTION("""COMPUTED_VALUE"""),119237.0)</f>
        <v>119237</v>
      </c>
      <c r="G62" s="46">
        <f>IFERROR(__xludf.DUMMYFUNCTION("""COMPUTED_VALUE"""),183889.0)</f>
        <v>183889</v>
      </c>
      <c r="H62" s="24"/>
      <c r="I62" s="46">
        <f>IFERROR(__xludf.DUMMYFUNCTION("""COMPUTED_VALUE"""),85352.0)</f>
        <v>85352</v>
      </c>
      <c r="J62" s="46">
        <f>IFERROR(__xludf.DUMMYFUNCTION("""COMPUTED_VALUE"""),94461.0)</f>
        <v>94461</v>
      </c>
      <c r="K62" s="46">
        <f>IFERROR(__xludf.DUMMYFUNCTION("""COMPUTED_VALUE"""),0.0)</f>
        <v>0</v>
      </c>
      <c r="L62" s="46">
        <f>IFERROR(__xludf.DUMMYFUNCTION("""COMPUTED_VALUE"""),0.0)</f>
        <v>0</v>
      </c>
      <c r="M62" s="46">
        <f>IFERROR(__xludf.DUMMYFUNCTION("""COMPUTED_VALUE"""),0.0)</f>
        <v>0</v>
      </c>
      <c r="N62" s="46">
        <f>IFERROR(__xludf.DUMMYFUNCTION("""COMPUTED_VALUE"""),0.0)</f>
        <v>0</v>
      </c>
      <c r="O62" s="46">
        <f>IFERROR(__xludf.DUMMYFUNCTION("""COMPUTED_VALUE"""),733348.0)</f>
        <v>733348</v>
      </c>
      <c r="P62" s="47">
        <f>IFERROR(__xludf.DUMMYFUNCTION("""COMPUTED_VALUE"""),7.738207625433435E-4)</f>
        <v>0.0007738207625</v>
      </c>
      <c r="Q62" s="16"/>
    </row>
    <row r="63" ht="15.75" customHeight="1">
      <c r="A63" s="48" t="str">
        <f>IFERROR(__xludf.DUMMYFUNCTION("""COMPUTED_VALUE"""),"会議費")</f>
        <v>会議費</v>
      </c>
      <c r="B63" s="46">
        <f>IFERROR(__xludf.DUMMYFUNCTION("""COMPUTED_VALUE"""),142102.0)</f>
        <v>142102</v>
      </c>
      <c r="C63" s="46">
        <f>IFERROR(__xludf.DUMMYFUNCTION("""COMPUTED_VALUE"""),65384.0)</f>
        <v>65384</v>
      </c>
      <c r="D63" s="46">
        <f>IFERROR(__xludf.DUMMYFUNCTION("""COMPUTED_VALUE"""),83437.0)</f>
        <v>83437</v>
      </c>
      <c r="E63" s="46">
        <f>IFERROR(__xludf.DUMMYFUNCTION("""COMPUTED_VALUE"""),235864.0)</f>
        <v>235864</v>
      </c>
      <c r="F63" s="46">
        <f>IFERROR(__xludf.DUMMYFUNCTION("""COMPUTED_VALUE"""),85987.0)</f>
        <v>85987</v>
      </c>
      <c r="G63" s="46">
        <f>IFERROR(__xludf.DUMMYFUNCTION("""COMPUTED_VALUE"""),170369.0)</f>
        <v>170369</v>
      </c>
      <c r="H63" s="24"/>
      <c r="I63" s="46">
        <f>IFERROR(__xludf.DUMMYFUNCTION("""COMPUTED_VALUE"""),147232.0)</f>
        <v>147232</v>
      </c>
      <c r="J63" s="46">
        <f>IFERROR(__xludf.DUMMYFUNCTION("""COMPUTED_VALUE"""),192872.0)</f>
        <v>192872</v>
      </c>
      <c r="K63" s="46">
        <f>IFERROR(__xludf.DUMMYFUNCTION("""COMPUTED_VALUE"""),0.0)</f>
        <v>0</v>
      </c>
      <c r="L63" s="46">
        <f>IFERROR(__xludf.DUMMYFUNCTION("""COMPUTED_VALUE"""),0.0)</f>
        <v>0</v>
      </c>
      <c r="M63" s="46">
        <f>IFERROR(__xludf.DUMMYFUNCTION("""COMPUTED_VALUE"""),0.0)</f>
        <v>0</v>
      </c>
      <c r="N63" s="46">
        <f>IFERROR(__xludf.DUMMYFUNCTION("""COMPUTED_VALUE"""),0.0)</f>
        <v>0</v>
      </c>
      <c r="O63" s="46">
        <f>IFERROR(__xludf.DUMMYFUNCTION("""COMPUTED_VALUE"""),1123247.0)</f>
        <v>1123247</v>
      </c>
      <c r="P63" s="47">
        <f>IFERROR(__xludf.DUMMYFUNCTION("""COMPUTED_VALUE"""),0.0011852379089661701)</f>
        <v>0.001185237909</v>
      </c>
      <c r="Q63" s="16"/>
    </row>
    <row r="64" ht="15.75" customHeight="1">
      <c r="A64" s="48" t="str">
        <f>IFERROR(__xludf.DUMMYFUNCTION("""COMPUTED_VALUE"""),"荷造運搬費")</f>
        <v>荷造運搬費</v>
      </c>
      <c r="B64" s="46">
        <f>IFERROR(__xludf.DUMMYFUNCTION("""COMPUTED_VALUE"""),107784.0)</f>
        <v>107784</v>
      </c>
      <c r="C64" s="46">
        <f>IFERROR(__xludf.DUMMYFUNCTION("""COMPUTED_VALUE"""),156393.0)</f>
        <v>156393</v>
      </c>
      <c r="D64" s="46">
        <f>IFERROR(__xludf.DUMMYFUNCTION("""COMPUTED_VALUE"""),96806.0)</f>
        <v>96806</v>
      </c>
      <c r="E64" s="46">
        <f>IFERROR(__xludf.DUMMYFUNCTION("""COMPUTED_VALUE"""),3053637.0)</f>
        <v>3053637</v>
      </c>
      <c r="F64" s="46">
        <f>IFERROR(__xludf.DUMMYFUNCTION("""COMPUTED_VALUE"""),316140.0)</f>
        <v>316140</v>
      </c>
      <c r="G64" s="46">
        <f>IFERROR(__xludf.DUMMYFUNCTION("""COMPUTED_VALUE"""),280159.0)</f>
        <v>280159</v>
      </c>
      <c r="H64" s="24"/>
      <c r="I64" s="46">
        <f>IFERROR(__xludf.DUMMYFUNCTION("""COMPUTED_VALUE"""),1560339.0)</f>
        <v>1560339</v>
      </c>
      <c r="J64" s="46">
        <f>IFERROR(__xludf.DUMMYFUNCTION("""COMPUTED_VALUE"""),211096.0)</f>
        <v>211096</v>
      </c>
      <c r="K64" s="46">
        <f>IFERROR(__xludf.DUMMYFUNCTION("""COMPUTED_VALUE"""),0.0)</f>
        <v>0</v>
      </c>
      <c r="L64" s="46">
        <f>IFERROR(__xludf.DUMMYFUNCTION("""COMPUTED_VALUE"""),0.0)</f>
        <v>0</v>
      </c>
      <c r="M64" s="46">
        <f>IFERROR(__xludf.DUMMYFUNCTION("""COMPUTED_VALUE"""),0.0)</f>
        <v>0</v>
      </c>
      <c r="N64" s="46">
        <f>IFERROR(__xludf.DUMMYFUNCTION("""COMPUTED_VALUE"""),0.0)</f>
        <v>0</v>
      </c>
      <c r="O64" s="46">
        <f>IFERROR(__xludf.DUMMYFUNCTION("""COMPUTED_VALUE"""),5782354.0)</f>
        <v>5782354</v>
      </c>
      <c r="P64" s="47">
        <f>IFERROR(__xludf.DUMMYFUNCTION("""COMPUTED_VALUE"""),0.0061014764908004825)</f>
        <v>0.006101476491</v>
      </c>
      <c r="Q64" s="16"/>
    </row>
    <row r="65" ht="15.75" customHeight="1">
      <c r="A65" s="48" t="str">
        <f>IFERROR(__xludf.DUMMYFUNCTION("""COMPUTED_VALUE"""),"消耗品費")</f>
        <v>消耗品費</v>
      </c>
      <c r="B65" s="46">
        <f>IFERROR(__xludf.DUMMYFUNCTION("""COMPUTED_VALUE"""),946903.0)</f>
        <v>946903</v>
      </c>
      <c r="C65" s="46">
        <f>IFERROR(__xludf.DUMMYFUNCTION("""COMPUTED_VALUE"""),971016.0)</f>
        <v>971016</v>
      </c>
      <c r="D65" s="46">
        <f>IFERROR(__xludf.DUMMYFUNCTION("""COMPUTED_VALUE"""),1126241.0)</f>
        <v>1126241</v>
      </c>
      <c r="E65" s="46">
        <f>IFERROR(__xludf.DUMMYFUNCTION("""COMPUTED_VALUE"""),457301.0)</f>
        <v>457301</v>
      </c>
      <c r="F65" s="46">
        <f>IFERROR(__xludf.DUMMYFUNCTION("""COMPUTED_VALUE"""),310040.0)</f>
        <v>310040</v>
      </c>
      <c r="G65" s="46">
        <f>IFERROR(__xludf.DUMMYFUNCTION("""COMPUTED_VALUE"""),724882.0)</f>
        <v>724882</v>
      </c>
      <c r="H65" s="24"/>
      <c r="I65" s="46">
        <f>IFERROR(__xludf.DUMMYFUNCTION("""COMPUTED_VALUE"""),1452173.0)</f>
        <v>1452173</v>
      </c>
      <c r="J65" s="46">
        <f>IFERROR(__xludf.DUMMYFUNCTION("""COMPUTED_VALUE"""),358909.0)</f>
        <v>358909</v>
      </c>
      <c r="K65" s="46">
        <f>IFERROR(__xludf.DUMMYFUNCTION("""COMPUTED_VALUE"""),0.0)</f>
        <v>0</v>
      </c>
      <c r="L65" s="46">
        <f>IFERROR(__xludf.DUMMYFUNCTION("""COMPUTED_VALUE"""),0.0)</f>
        <v>0</v>
      </c>
      <c r="M65" s="46">
        <f>IFERROR(__xludf.DUMMYFUNCTION("""COMPUTED_VALUE"""),0.0)</f>
        <v>0</v>
      </c>
      <c r="N65" s="46">
        <f>IFERROR(__xludf.DUMMYFUNCTION("""COMPUTED_VALUE"""),0.0)</f>
        <v>0</v>
      </c>
      <c r="O65" s="46">
        <f>IFERROR(__xludf.DUMMYFUNCTION("""COMPUTED_VALUE"""),6347465.0)</f>
        <v>6347465</v>
      </c>
      <c r="P65" s="47">
        <f>IFERROR(__xludf.DUMMYFUNCTION("""COMPUTED_VALUE"""),0.006697775417015092)</f>
        <v>0.006697775417</v>
      </c>
      <c r="Q65" s="16"/>
    </row>
    <row r="66" ht="15.75" customHeight="1">
      <c r="A66" s="48" t="str">
        <f>IFERROR(__xludf.DUMMYFUNCTION("""COMPUTED_VALUE"""),"新聞図書費")</f>
        <v>新聞図書費</v>
      </c>
      <c r="B66" s="46">
        <f>IFERROR(__xludf.DUMMYFUNCTION("""COMPUTED_VALUE"""),43590.0)</f>
        <v>43590</v>
      </c>
      <c r="C66" s="46">
        <f>IFERROR(__xludf.DUMMYFUNCTION("""COMPUTED_VALUE"""),36634.0)</f>
        <v>36634</v>
      </c>
      <c r="D66" s="46">
        <f>IFERROR(__xludf.DUMMYFUNCTION("""COMPUTED_VALUE"""),0.0)</f>
        <v>0</v>
      </c>
      <c r="E66" s="46">
        <f>IFERROR(__xludf.DUMMYFUNCTION("""COMPUTED_VALUE"""),12258.0)</f>
        <v>12258</v>
      </c>
      <c r="F66" s="46">
        <f>IFERROR(__xludf.DUMMYFUNCTION("""COMPUTED_VALUE"""),11334.0)</f>
        <v>11334</v>
      </c>
      <c r="G66" s="46">
        <f>IFERROR(__xludf.DUMMYFUNCTION("""COMPUTED_VALUE"""),33657.0)</f>
        <v>33657</v>
      </c>
      <c r="H66" s="24"/>
      <c r="I66" s="46">
        <f>IFERROR(__xludf.DUMMYFUNCTION("""COMPUTED_VALUE"""),64253.0)</f>
        <v>64253</v>
      </c>
      <c r="J66" s="46">
        <f>IFERROR(__xludf.DUMMYFUNCTION("""COMPUTED_VALUE"""),53654.0)</f>
        <v>53654</v>
      </c>
      <c r="K66" s="46">
        <f>IFERROR(__xludf.DUMMYFUNCTION("""COMPUTED_VALUE"""),0.0)</f>
        <v>0</v>
      </c>
      <c r="L66" s="46">
        <f>IFERROR(__xludf.DUMMYFUNCTION("""COMPUTED_VALUE"""),0.0)</f>
        <v>0</v>
      </c>
      <c r="M66" s="46">
        <f>IFERROR(__xludf.DUMMYFUNCTION("""COMPUTED_VALUE"""),0.0)</f>
        <v>0</v>
      </c>
      <c r="N66" s="46">
        <f>IFERROR(__xludf.DUMMYFUNCTION("""COMPUTED_VALUE"""),0.0)</f>
        <v>0</v>
      </c>
      <c r="O66" s="46">
        <f>IFERROR(__xludf.DUMMYFUNCTION("""COMPUTED_VALUE"""),255380.0)</f>
        <v>255380</v>
      </c>
      <c r="P66" s="47">
        <f>IFERROR(__xludf.DUMMYFUNCTION("""COMPUTED_VALUE"""),2.694741737051428E-4)</f>
        <v>0.0002694741737</v>
      </c>
      <c r="Q66" s="16"/>
    </row>
    <row r="67" ht="15.75" customHeight="1">
      <c r="A67" s="48" t="str">
        <f>IFERROR(__xludf.DUMMYFUNCTION("""COMPUTED_VALUE"""),"保険料")</f>
        <v>保険料</v>
      </c>
      <c r="B67" s="46">
        <f>IFERROR(__xludf.DUMMYFUNCTION("""COMPUTED_VALUE"""),1019630.0)</f>
        <v>1019630</v>
      </c>
      <c r="C67" s="46">
        <f>IFERROR(__xludf.DUMMYFUNCTION("""COMPUTED_VALUE"""),0.0)</f>
        <v>0</v>
      </c>
      <c r="D67" s="46">
        <f>IFERROR(__xludf.DUMMYFUNCTION("""COMPUTED_VALUE"""),0.0)</f>
        <v>0</v>
      </c>
      <c r="E67" s="46">
        <f>IFERROR(__xludf.DUMMYFUNCTION("""COMPUTED_VALUE"""),0.0)</f>
        <v>0</v>
      </c>
      <c r="F67" s="46">
        <f>IFERROR(__xludf.DUMMYFUNCTION("""COMPUTED_VALUE"""),80100.0)</f>
        <v>80100</v>
      </c>
      <c r="G67" s="46">
        <f>IFERROR(__xludf.DUMMYFUNCTION("""COMPUTED_VALUE"""),17000.0)</f>
        <v>17000</v>
      </c>
      <c r="H67" s="24"/>
      <c r="I67" s="46">
        <f>IFERROR(__xludf.DUMMYFUNCTION("""COMPUTED_VALUE"""),0.0)</f>
        <v>0</v>
      </c>
      <c r="J67" s="46">
        <f>IFERROR(__xludf.DUMMYFUNCTION("""COMPUTED_VALUE"""),0.0)</f>
        <v>0</v>
      </c>
      <c r="K67" s="46">
        <f>IFERROR(__xludf.DUMMYFUNCTION("""COMPUTED_VALUE"""),0.0)</f>
        <v>0</v>
      </c>
      <c r="L67" s="46">
        <f>IFERROR(__xludf.DUMMYFUNCTION("""COMPUTED_VALUE"""),0.0)</f>
        <v>0</v>
      </c>
      <c r="M67" s="46">
        <f>IFERROR(__xludf.DUMMYFUNCTION("""COMPUTED_VALUE"""),0.0)</f>
        <v>0</v>
      </c>
      <c r="N67" s="46">
        <f>IFERROR(__xludf.DUMMYFUNCTION("""COMPUTED_VALUE"""),0.0)</f>
        <v>0</v>
      </c>
      <c r="O67" s="46">
        <f>IFERROR(__xludf.DUMMYFUNCTION("""COMPUTED_VALUE"""),1116730.0)</f>
        <v>1116730</v>
      </c>
      <c r="P67" s="47">
        <f>IFERROR(__xludf.DUMMYFUNCTION("""COMPUTED_VALUE"""),0.0011783612420774693)</f>
        <v>0.001178361242</v>
      </c>
      <c r="Q67" s="16"/>
    </row>
    <row r="68" ht="15.75" customHeight="1">
      <c r="A68" s="48" t="str">
        <f>IFERROR(__xludf.DUMMYFUNCTION("""COMPUTED_VALUE"""),"修繕費")</f>
        <v>修繕費</v>
      </c>
      <c r="B68" s="46">
        <f>IFERROR(__xludf.DUMMYFUNCTION("""COMPUTED_VALUE"""),0.0)</f>
        <v>0</v>
      </c>
      <c r="C68" s="46">
        <f>IFERROR(__xludf.DUMMYFUNCTION("""COMPUTED_VALUE"""),0.0)</f>
        <v>0</v>
      </c>
      <c r="D68" s="46">
        <f>IFERROR(__xludf.DUMMYFUNCTION("""COMPUTED_VALUE"""),0.0)</f>
        <v>0</v>
      </c>
      <c r="E68" s="46">
        <f>IFERROR(__xludf.DUMMYFUNCTION("""COMPUTED_VALUE"""),0.0)</f>
        <v>0</v>
      </c>
      <c r="F68" s="46">
        <f>IFERROR(__xludf.DUMMYFUNCTION("""COMPUTED_VALUE"""),0.0)</f>
        <v>0</v>
      </c>
      <c r="G68" s="46">
        <f>IFERROR(__xludf.DUMMYFUNCTION("""COMPUTED_VALUE"""),0.0)</f>
        <v>0</v>
      </c>
      <c r="H68" s="24"/>
      <c r="I68" s="46">
        <f>IFERROR(__xludf.DUMMYFUNCTION("""COMPUTED_VALUE"""),0.0)</f>
        <v>0</v>
      </c>
      <c r="J68" s="46">
        <f>IFERROR(__xludf.DUMMYFUNCTION("""COMPUTED_VALUE"""),0.0)</f>
        <v>0</v>
      </c>
      <c r="K68" s="46">
        <f>IFERROR(__xludf.DUMMYFUNCTION("""COMPUTED_VALUE"""),0.0)</f>
        <v>0</v>
      </c>
      <c r="L68" s="46">
        <f>IFERROR(__xludf.DUMMYFUNCTION("""COMPUTED_VALUE"""),0.0)</f>
        <v>0</v>
      </c>
      <c r="M68" s="46">
        <f>IFERROR(__xludf.DUMMYFUNCTION("""COMPUTED_VALUE"""),0.0)</f>
        <v>0</v>
      </c>
      <c r="N68" s="46">
        <f>IFERROR(__xludf.DUMMYFUNCTION("""COMPUTED_VALUE"""),0.0)</f>
        <v>0</v>
      </c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46">
        <f>IFERROR(__xludf.DUMMYFUNCTION("""COMPUTED_VALUE"""),5728818.0)</f>
        <v>5728818</v>
      </c>
      <c r="C69" s="46">
        <f>IFERROR(__xludf.DUMMYFUNCTION("""COMPUTED_VALUE"""),5657538.0)</f>
        <v>5657538</v>
      </c>
      <c r="D69" s="46">
        <f>IFERROR(__xludf.DUMMYFUNCTION("""COMPUTED_VALUE"""),5657538.0)</f>
        <v>5657538</v>
      </c>
      <c r="E69" s="46">
        <f>IFERROR(__xludf.DUMMYFUNCTION("""COMPUTED_VALUE"""),5726838.0)</f>
        <v>5726838</v>
      </c>
      <c r="F69" s="46">
        <f>IFERROR(__xludf.DUMMYFUNCTION("""COMPUTED_VALUE"""),5657538.0)</f>
        <v>5657538</v>
      </c>
      <c r="G69" s="46">
        <f>IFERROR(__xludf.DUMMYFUNCTION("""COMPUTED_VALUE"""),5657538.0)</f>
        <v>5657538</v>
      </c>
      <c r="H69" s="24"/>
      <c r="I69" s="46">
        <f>IFERROR(__xludf.DUMMYFUNCTION("""COMPUTED_VALUE"""),5657538.0)</f>
        <v>5657538</v>
      </c>
      <c r="J69" s="46">
        <f>IFERROR(__xludf.DUMMYFUNCTION("""COMPUTED_VALUE"""),5664468.0)</f>
        <v>5664468</v>
      </c>
      <c r="K69" s="46">
        <f>IFERROR(__xludf.DUMMYFUNCTION("""COMPUTED_VALUE"""),0.0)</f>
        <v>0</v>
      </c>
      <c r="L69" s="46">
        <f>IFERROR(__xludf.DUMMYFUNCTION("""COMPUTED_VALUE"""),0.0)</f>
        <v>0</v>
      </c>
      <c r="M69" s="46">
        <f>IFERROR(__xludf.DUMMYFUNCTION("""COMPUTED_VALUE"""),0.0)</f>
        <v>0</v>
      </c>
      <c r="N69" s="46">
        <f>IFERROR(__xludf.DUMMYFUNCTION("""COMPUTED_VALUE"""),0.0)</f>
        <v>0</v>
      </c>
      <c r="O69" s="46">
        <f>IFERROR(__xludf.DUMMYFUNCTION("""COMPUTED_VALUE"""),4.5407814E7)</f>
        <v>45407814</v>
      </c>
      <c r="P69" s="47">
        <f>IFERROR(__xludf.DUMMYFUNCTION("""COMPUTED_VALUE"""),0.04791382707105809)</f>
        <v>0.04791382707</v>
      </c>
      <c r="Q69" s="16"/>
    </row>
    <row r="70" ht="15.75" customHeight="1">
      <c r="A70" s="48" t="str">
        <f>IFERROR(__xludf.DUMMYFUNCTION("""COMPUTED_VALUE"""),"賃借料")</f>
        <v>賃借料</v>
      </c>
      <c r="B70" s="46">
        <f>IFERROR(__xludf.DUMMYFUNCTION("""COMPUTED_VALUE"""),72342.0)</f>
        <v>72342</v>
      </c>
      <c r="C70" s="46">
        <f>IFERROR(__xludf.DUMMYFUNCTION("""COMPUTED_VALUE"""),75642.0)</f>
        <v>75642</v>
      </c>
      <c r="D70" s="46">
        <f>IFERROR(__xludf.DUMMYFUNCTION("""COMPUTED_VALUE"""),150238.0)</f>
        <v>150238</v>
      </c>
      <c r="E70" s="46">
        <f>IFERROR(__xludf.DUMMYFUNCTION("""COMPUTED_VALUE"""),49500.0)</f>
        <v>49500</v>
      </c>
      <c r="F70" s="46">
        <f>IFERROR(__xludf.DUMMYFUNCTION("""COMPUTED_VALUE"""),52800.0)</f>
        <v>52800</v>
      </c>
      <c r="G70" s="46">
        <f>IFERROR(__xludf.DUMMYFUNCTION("""COMPUTED_VALUE"""),52800.0)</f>
        <v>52800</v>
      </c>
      <c r="H70" s="24"/>
      <c r="I70" s="46">
        <f>IFERROR(__xludf.DUMMYFUNCTION("""COMPUTED_VALUE"""),52800.0)</f>
        <v>52800</v>
      </c>
      <c r="J70" s="46">
        <f>IFERROR(__xludf.DUMMYFUNCTION("""COMPUTED_VALUE"""),52800.0)</f>
        <v>52800</v>
      </c>
      <c r="K70" s="46">
        <f>IFERROR(__xludf.DUMMYFUNCTION("""COMPUTED_VALUE"""),0.0)</f>
        <v>0</v>
      </c>
      <c r="L70" s="46">
        <f>IFERROR(__xludf.DUMMYFUNCTION("""COMPUTED_VALUE"""),0.0)</f>
        <v>0</v>
      </c>
      <c r="M70" s="46">
        <f>IFERROR(__xludf.DUMMYFUNCTION("""COMPUTED_VALUE"""),0.0)</f>
        <v>0</v>
      </c>
      <c r="N70" s="46">
        <f>IFERROR(__xludf.DUMMYFUNCTION("""COMPUTED_VALUE"""),0.0)</f>
        <v>0</v>
      </c>
      <c r="O70" s="46">
        <f>IFERROR(__xludf.DUMMYFUNCTION("""COMPUTED_VALUE"""),558922.0)</f>
        <v>558922</v>
      </c>
      <c r="P70" s="47">
        <f>IFERROR(__xludf.DUMMYFUNCTION("""COMPUTED_VALUE"""),5.897683613267516E-4)</f>
        <v>0.0005897683613</v>
      </c>
      <c r="Q70" s="16"/>
    </row>
    <row r="71" ht="15.75" customHeight="1">
      <c r="A71" s="48" t="str">
        <f>IFERROR(__xludf.DUMMYFUNCTION("""COMPUTED_VALUE"""),"法定福利費")</f>
        <v>法定福利費</v>
      </c>
      <c r="B71" s="46">
        <f>IFERROR(__xludf.DUMMYFUNCTION("""COMPUTED_VALUE"""),4722359.0)</f>
        <v>4722359</v>
      </c>
      <c r="C71" s="46">
        <f>IFERROR(__xludf.DUMMYFUNCTION("""COMPUTED_VALUE"""),8477443.0)</f>
        <v>8477443</v>
      </c>
      <c r="D71" s="46">
        <f>IFERROR(__xludf.DUMMYFUNCTION("""COMPUTED_VALUE"""),515412.0)</f>
        <v>515412</v>
      </c>
      <c r="E71" s="46">
        <f>IFERROR(__xludf.DUMMYFUNCTION("""COMPUTED_VALUE"""),4803799.0)</f>
        <v>4803799</v>
      </c>
      <c r="F71" s="46">
        <f>IFERROR(__xludf.DUMMYFUNCTION("""COMPUTED_VALUE"""),1.5592748E7)</f>
        <v>15592748</v>
      </c>
      <c r="G71" s="46">
        <f>IFERROR(__xludf.DUMMYFUNCTION("""COMPUTED_VALUE"""),4651747.0)</f>
        <v>4651747</v>
      </c>
      <c r="H71" s="24"/>
      <c r="I71" s="46">
        <f>IFERROR(__xludf.DUMMYFUNCTION("""COMPUTED_VALUE"""),6855334.0)</f>
        <v>6855334</v>
      </c>
      <c r="J71" s="46">
        <f>IFERROR(__xludf.DUMMYFUNCTION("""COMPUTED_VALUE"""),4844334.0)</f>
        <v>4844334</v>
      </c>
      <c r="K71" s="46">
        <f>IFERROR(__xludf.DUMMYFUNCTION("""COMPUTED_VALUE"""),0.0)</f>
        <v>0</v>
      </c>
      <c r="L71" s="46">
        <f>IFERROR(__xludf.DUMMYFUNCTION("""COMPUTED_VALUE"""),0.0)</f>
        <v>0</v>
      </c>
      <c r="M71" s="46">
        <f>IFERROR(__xludf.DUMMYFUNCTION("""COMPUTED_VALUE"""),0.0)</f>
        <v>0</v>
      </c>
      <c r="N71" s="46">
        <f>IFERROR(__xludf.DUMMYFUNCTION("""COMPUTED_VALUE"""),0.0)</f>
        <v>0</v>
      </c>
      <c r="O71" s="46">
        <f>IFERROR(__xludf.DUMMYFUNCTION("""COMPUTED_VALUE"""),5.0463176E7)</f>
        <v>50463176</v>
      </c>
      <c r="P71" s="47">
        <f>IFERROR(__xludf.DUMMYFUNCTION("""COMPUTED_VALUE"""),0.05324818958077059)</f>
        <v>0.05324818958</v>
      </c>
      <c r="Q71" s="16"/>
    </row>
    <row r="72" ht="15.75" customHeight="1">
      <c r="A72" s="48" t="str">
        <f>IFERROR(__xludf.DUMMYFUNCTION("""COMPUTED_VALUE"""),"福利厚生費")</f>
        <v>福利厚生費</v>
      </c>
      <c r="B72" s="46">
        <f>IFERROR(__xludf.DUMMYFUNCTION("""COMPUTED_VALUE"""),98688.0)</f>
        <v>98688</v>
      </c>
      <c r="C72" s="46">
        <f>IFERROR(__xludf.DUMMYFUNCTION("""COMPUTED_VALUE"""),49500.0)</f>
        <v>49500</v>
      </c>
      <c r="D72" s="46">
        <f>IFERROR(__xludf.DUMMYFUNCTION("""COMPUTED_VALUE"""),60500.0)</f>
        <v>60500</v>
      </c>
      <c r="E72" s="46">
        <f>IFERROR(__xludf.DUMMYFUNCTION("""COMPUTED_VALUE"""),90200.0)</f>
        <v>90200</v>
      </c>
      <c r="F72" s="46">
        <f>IFERROR(__xludf.DUMMYFUNCTION("""COMPUTED_VALUE"""),152590.0)</f>
        <v>152590</v>
      </c>
      <c r="G72" s="46">
        <f>IFERROR(__xludf.DUMMYFUNCTION("""COMPUTED_VALUE"""),227700.0)</f>
        <v>227700</v>
      </c>
      <c r="H72" s="24"/>
      <c r="I72" s="46">
        <f>IFERROR(__xludf.DUMMYFUNCTION("""COMPUTED_VALUE"""),65000.0)</f>
        <v>65000</v>
      </c>
      <c r="J72" s="46">
        <f>IFERROR(__xludf.DUMMYFUNCTION("""COMPUTED_VALUE"""),187010.0)</f>
        <v>187010</v>
      </c>
      <c r="K72" s="46">
        <f>IFERROR(__xludf.DUMMYFUNCTION("""COMPUTED_VALUE"""),0.0)</f>
        <v>0</v>
      </c>
      <c r="L72" s="46">
        <f>IFERROR(__xludf.DUMMYFUNCTION("""COMPUTED_VALUE"""),0.0)</f>
        <v>0</v>
      </c>
      <c r="M72" s="46">
        <f>IFERROR(__xludf.DUMMYFUNCTION("""COMPUTED_VALUE"""),0.0)</f>
        <v>0</v>
      </c>
      <c r="N72" s="46">
        <f>IFERROR(__xludf.DUMMYFUNCTION("""COMPUTED_VALUE"""),0.0)</f>
        <v>0</v>
      </c>
      <c r="O72" s="46">
        <f>IFERROR(__xludf.DUMMYFUNCTION("""COMPUTED_VALUE"""),931188.0)</f>
        <v>931188</v>
      </c>
      <c r="P72" s="47">
        <f>IFERROR(__xludf.DUMMYFUNCTION("""COMPUTED_VALUE"""),9.825793596371858E-4)</f>
        <v>0.0009825793596</v>
      </c>
      <c r="Q72" s="16"/>
    </row>
    <row r="73" ht="15.75" customHeight="1">
      <c r="A73" s="48" t="str">
        <f>IFERROR(__xludf.DUMMYFUNCTION("""COMPUTED_VALUE"""),"租税公課")</f>
        <v>租税公課</v>
      </c>
      <c r="B73" s="46">
        <f>IFERROR(__xludf.DUMMYFUNCTION("""COMPUTED_VALUE"""),8000.0)</f>
        <v>8000</v>
      </c>
      <c r="C73" s="46">
        <f>IFERROR(__xludf.DUMMYFUNCTION("""COMPUTED_VALUE"""),6150.0)</f>
        <v>6150</v>
      </c>
      <c r="D73" s="46">
        <f>IFERROR(__xludf.DUMMYFUNCTION("""COMPUTED_VALUE"""),0.0)</f>
        <v>0</v>
      </c>
      <c r="E73" s="46">
        <f>IFERROR(__xludf.DUMMYFUNCTION("""COMPUTED_VALUE"""),10000.0)</f>
        <v>10000</v>
      </c>
      <c r="F73" s="46">
        <f>IFERROR(__xludf.DUMMYFUNCTION("""COMPUTED_VALUE"""),0.0)</f>
        <v>0</v>
      </c>
      <c r="G73" s="46">
        <f>IFERROR(__xludf.DUMMYFUNCTION("""COMPUTED_VALUE"""),4000.0)</f>
        <v>4000</v>
      </c>
      <c r="H73" s="24"/>
      <c r="I73" s="46">
        <f>IFERROR(__xludf.DUMMYFUNCTION("""COMPUTED_VALUE"""),12000.0)</f>
        <v>12000</v>
      </c>
      <c r="J73" s="46">
        <f>IFERROR(__xludf.DUMMYFUNCTION("""COMPUTED_VALUE"""),0.0)</f>
        <v>0</v>
      </c>
      <c r="K73" s="46">
        <f>IFERROR(__xludf.DUMMYFUNCTION("""COMPUTED_VALUE"""),0.0)</f>
        <v>0</v>
      </c>
      <c r="L73" s="46">
        <f>IFERROR(__xludf.DUMMYFUNCTION("""COMPUTED_VALUE"""),0.0)</f>
        <v>0</v>
      </c>
      <c r="M73" s="46">
        <f>IFERROR(__xludf.DUMMYFUNCTION("""COMPUTED_VALUE"""),0.0)</f>
        <v>0</v>
      </c>
      <c r="N73" s="46">
        <f>IFERROR(__xludf.DUMMYFUNCTION("""COMPUTED_VALUE"""),0.0)</f>
        <v>0</v>
      </c>
      <c r="O73" s="46">
        <f>IFERROR(__xludf.DUMMYFUNCTION("""COMPUTED_VALUE"""),40150.0)</f>
        <v>40150</v>
      </c>
      <c r="P73" s="47">
        <f>IFERROR(__xludf.DUMMYFUNCTION("""COMPUTED_VALUE"""),4.236583943245941E-5)</f>
        <v>0.00004236583943</v>
      </c>
      <c r="Q73" s="16"/>
    </row>
    <row r="74" ht="15.75" customHeight="1">
      <c r="A74" s="48" t="str">
        <f>IFERROR(__xludf.DUMMYFUNCTION("""COMPUTED_VALUE"""),"教務費")</f>
        <v>教務費</v>
      </c>
      <c r="B74" s="46">
        <f>IFERROR(__xludf.DUMMYFUNCTION("""COMPUTED_VALUE"""),6600.0)</f>
        <v>6600</v>
      </c>
      <c r="C74" s="46">
        <f>IFERROR(__xludf.DUMMYFUNCTION("""COMPUTED_VALUE"""),6600.0)</f>
        <v>6600</v>
      </c>
      <c r="D74" s="46">
        <f>IFERROR(__xludf.DUMMYFUNCTION("""COMPUTED_VALUE"""),2090.0)</f>
        <v>2090</v>
      </c>
      <c r="E74" s="46">
        <f>IFERROR(__xludf.DUMMYFUNCTION("""COMPUTED_VALUE"""),0.0)</f>
        <v>0</v>
      </c>
      <c r="F74" s="46">
        <f>IFERROR(__xludf.DUMMYFUNCTION("""COMPUTED_VALUE"""),0.0)</f>
        <v>0</v>
      </c>
      <c r="G74" s="46">
        <f>IFERROR(__xludf.DUMMYFUNCTION("""COMPUTED_VALUE"""),330.0)</f>
        <v>330</v>
      </c>
      <c r="H74" s="24"/>
      <c r="I74" s="46">
        <f>IFERROR(__xludf.DUMMYFUNCTION("""COMPUTED_VALUE"""),1760.0)</f>
        <v>1760</v>
      </c>
      <c r="J74" s="46">
        <f>IFERROR(__xludf.DUMMYFUNCTION("""COMPUTED_VALUE"""),131740.0)</f>
        <v>131740</v>
      </c>
      <c r="K74" s="46">
        <f>IFERROR(__xludf.DUMMYFUNCTION("""COMPUTED_VALUE"""),0.0)</f>
        <v>0</v>
      </c>
      <c r="L74" s="46">
        <f>IFERROR(__xludf.DUMMYFUNCTION("""COMPUTED_VALUE"""),0.0)</f>
        <v>0</v>
      </c>
      <c r="M74" s="46">
        <f>IFERROR(__xludf.DUMMYFUNCTION("""COMPUTED_VALUE"""),0.0)</f>
        <v>0</v>
      </c>
      <c r="N74" s="46">
        <f>IFERROR(__xludf.DUMMYFUNCTION("""COMPUTED_VALUE"""),0.0)</f>
        <v>0</v>
      </c>
      <c r="O74" s="46">
        <f>IFERROR(__xludf.DUMMYFUNCTION("""COMPUTED_VALUE"""),149120.0)</f>
        <v>149120</v>
      </c>
      <c r="P74" s="47">
        <f>IFERROR(__xludf.DUMMYFUNCTION("""COMPUTED_VALUE"""),1.5734978770033244E-4)</f>
        <v>0.0001573497877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46">
        <f>IFERROR(__xludf.DUMMYFUNCTION("""COMPUTED_VALUE"""),2431000.0)</f>
        <v>2431000</v>
      </c>
      <c r="C75" s="46">
        <f>IFERROR(__xludf.DUMMYFUNCTION("""COMPUTED_VALUE"""),891000.0)</f>
        <v>891000</v>
      </c>
      <c r="D75" s="46">
        <f>IFERROR(__xludf.DUMMYFUNCTION("""COMPUTED_VALUE"""),891000.0)</f>
        <v>891000</v>
      </c>
      <c r="E75" s="46">
        <f>IFERROR(__xludf.DUMMYFUNCTION("""COMPUTED_VALUE"""),891000.0)</f>
        <v>891000</v>
      </c>
      <c r="F75" s="46">
        <f>IFERROR(__xludf.DUMMYFUNCTION("""COMPUTED_VALUE"""),891000.0)</f>
        <v>891000</v>
      </c>
      <c r="G75" s="46">
        <f>IFERROR(__xludf.DUMMYFUNCTION("""COMPUTED_VALUE"""),891000.0)</f>
        <v>891000</v>
      </c>
      <c r="H75" s="24"/>
      <c r="I75" s="46">
        <f>IFERROR(__xludf.DUMMYFUNCTION("""COMPUTED_VALUE"""),616000.0)</f>
        <v>616000</v>
      </c>
      <c r="J75" s="46">
        <f>IFERROR(__xludf.DUMMYFUNCTION("""COMPUTED_VALUE"""),1716000.0)</f>
        <v>1716000</v>
      </c>
      <c r="K75" s="46">
        <f>IFERROR(__xludf.DUMMYFUNCTION("""COMPUTED_VALUE"""),0.0)</f>
        <v>0</v>
      </c>
      <c r="L75" s="46">
        <f>IFERROR(__xludf.DUMMYFUNCTION("""COMPUTED_VALUE"""),0.0)</f>
        <v>0</v>
      </c>
      <c r="M75" s="46">
        <f>IFERROR(__xludf.DUMMYFUNCTION("""COMPUTED_VALUE"""),0.0)</f>
        <v>0</v>
      </c>
      <c r="N75" s="46">
        <f>IFERROR(__xludf.DUMMYFUNCTION("""COMPUTED_VALUE"""),0.0)</f>
        <v>0</v>
      </c>
      <c r="O75" s="46">
        <f>IFERROR(__xludf.DUMMYFUNCTION("""COMPUTED_VALUE"""),9218000.0)</f>
        <v>9218000</v>
      </c>
      <c r="P75" s="47">
        <f>IFERROR(__xludf.DUMMYFUNCTION("""COMPUTED_VALUE"""),0.009726732450520817)</f>
        <v>0.009726732451</v>
      </c>
      <c r="Q75" s="16"/>
    </row>
    <row r="76" ht="15.75" customHeight="1">
      <c r="A76" s="48" t="str">
        <f>IFERROR(__xludf.DUMMYFUNCTION("""COMPUTED_VALUE"""),"諸会費")</f>
        <v>諸会費</v>
      </c>
      <c r="B76" s="46">
        <f>IFERROR(__xludf.DUMMYFUNCTION("""COMPUTED_VALUE"""),188047.0)</f>
        <v>188047</v>
      </c>
      <c r="C76" s="46">
        <f>IFERROR(__xludf.DUMMYFUNCTION("""COMPUTED_VALUE"""),201000.0)</f>
        <v>201000</v>
      </c>
      <c r="D76" s="46">
        <f>IFERROR(__xludf.DUMMYFUNCTION("""COMPUTED_VALUE"""),120000.0)</f>
        <v>120000</v>
      </c>
      <c r="E76" s="46">
        <f>IFERROR(__xludf.DUMMYFUNCTION("""COMPUTED_VALUE"""),444989.0)</f>
        <v>444989</v>
      </c>
      <c r="F76" s="46">
        <f>IFERROR(__xludf.DUMMYFUNCTION("""COMPUTED_VALUE"""),0.0)</f>
        <v>0</v>
      </c>
      <c r="G76" s="46">
        <f>IFERROR(__xludf.DUMMYFUNCTION("""COMPUTED_VALUE"""),36085.0)</f>
        <v>36085</v>
      </c>
      <c r="H76" s="24"/>
      <c r="I76" s="46">
        <f>IFERROR(__xludf.DUMMYFUNCTION("""COMPUTED_VALUE"""),2448.0)</f>
        <v>2448</v>
      </c>
      <c r="J76" s="46">
        <f>IFERROR(__xludf.DUMMYFUNCTION("""COMPUTED_VALUE"""),205500.0)</f>
        <v>205500</v>
      </c>
      <c r="K76" s="46">
        <f>IFERROR(__xludf.DUMMYFUNCTION("""COMPUTED_VALUE"""),0.0)</f>
        <v>0</v>
      </c>
      <c r="L76" s="46">
        <f>IFERROR(__xludf.DUMMYFUNCTION("""COMPUTED_VALUE"""),0.0)</f>
        <v>0</v>
      </c>
      <c r="M76" s="46">
        <f>IFERROR(__xludf.DUMMYFUNCTION("""COMPUTED_VALUE"""),0.0)</f>
        <v>0</v>
      </c>
      <c r="N76" s="46">
        <f>IFERROR(__xludf.DUMMYFUNCTION("""COMPUTED_VALUE"""),0.0)</f>
        <v>0</v>
      </c>
      <c r="O76" s="46">
        <f>IFERROR(__xludf.DUMMYFUNCTION("""COMPUTED_VALUE"""),1198069.0)</f>
        <v>1198069</v>
      </c>
      <c r="P76" s="47">
        <f>IFERROR(__xludf.DUMMYFUNCTION("""COMPUTED_VALUE"""),0.0012641892623414)</f>
        <v>0.001264189262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IFERROR(__xludf.DUMMYFUNCTION("""COMPUTED_VALUE"""),4.3894477E7)</f>
        <v>43894477</v>
      </c>
      <c r="C77" s="46">
        <f>IFERROR(__xludf.DUMMYFUNCTION("""COMPUTED_VALUE"""),4.4216401E7)</f>
        <v>44216401</v>
      </c>
      <c r="D77" s="46">
        <f>IFERROR(__xludf.DUMMYFUNCTION("""COMPUTED_VALUE"""),7.6108174E7)</f>
        <v>76108174</v>
      </c>
      <c r="E77" s="46">
        <f>IFERROR(__xludf.DUMMYFUNCTION("""COMPUTED_VALUE"""),4.464869E7)</f>
        <v>44648690</v>
      </c>
      <c r="F77" s="46">
        <f>IFERROR(__xludf.DUMMYFUNCTION("""COMPUTED_VALUE"""),4.3869507E7)</f>
        <v>43869507</v>
      </c>
      <c r="G77" s="46">
        <f>IFERROR(__xludf.DUMMYFUNCTION("""COMPUTED_VALUE"""),4.4086202E7)</f>
        <v>44086202</v>
      </c>
      <c r="H77" s="24"/>
      <c r="I77" s="46">
        <f>IFERROR(__xludf.DUMMYFUNCTION("""COMPUTED_VALUE"""),4.4680028E7)</f>
        <v>44680028</v>
      </c>
      <c r="J77" s="46">
        <f>IFERROR(__xludf.DUMMYFUNCTION("""COMPUTED_VALUE"""),4.4551787E7)</f>
        <v>44551787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IFERROR(__xludf.DUMMYFUNCTION("""COMPUTED_VALUE"""),3.86055266E8)</f>
        <v>386055266</v>
      </c>
      <c r="P77" s="47">
        <f>IFERROR(__xludf.DUMMYFUNCTION("""COMPUTED_VALUE"""),0.40736128048347214)</f>
        <v>0.4073612805</v>
      </c>
      <c r="Q77" s="16"/>
    </row>
    <row r="78" ht="15.75" customHeight="1">
      <c r="A78" s="51" t="str">
        <f>IFERROR(__xludf.DUMMYFUNCTION("""COMPUTED_VALUE"""),"正社員")</f>
        <v>正社員</v>
      </c>
      <c r="B78" s="52">
        <f>IFERROR(__xludf.DUMMYFUNCTION("""COMPUTED_VALUE"""),3.6981164E7)</f>
        <v>36981164</v>
      </c>
      <c r="C78" s="52">
        <f>IFERROR(__xludf.DUMMYFUNCTION("""COMPUTED_VALUE"""),3.6818439E7)</f>
        <v>36818439</v>
      </c>
      <c r="D78" s="52">
        <f>IFERROR(__xludf.DUMMYFUNCTION("""COMPUTED_VALUE"""),6.8181159E7)</f>
        <v>68181159</v>
      </c>
      <c r="E78" s="52">
        <f>IFERROR(__xludf.DUMMYFUNCTION("""COMPUTED_VALUE"""),3.725288E7)</f>
        <v>37252880</v>
      </c>
      <c r="F78" s="52">
        <f>IFERROR(__xludf.DUMMYFUNCTION("""COMPUTED_VALUE"""),3.6363574E7)</f>
        <v>36363574</v>
      </c>
      <c r="G78" s="52">
        <f>IFERROR(__xludf.DUMMYFUNCTION("""COMPUTED_VALUE"""),3.627349E7)</f>
        <v>36273490</v>
      </c>
      <c r="H78" s="24"/>
      <c r="I78" s="52">
        <f>IFERROR(__xludf.DUMMYFUNCTION("""COMPUTED_VALUE"""),3.6584904E7)</f>
        <v>36584904</v>
      </c>
      <c r="J78" s="52">
        <f>IFERROR(__xludf.DUMMYFUNCTION("""COMPUTED_VALUE"""),3.6495348E7)</f>
        <v>36495348</v>
      </c>
      <c r="K78" s="52">
        <f>IFERROR(__xludf.DUMMYFUNCTION("""COMPUTED_VALUE"""),0.0)</f>
        <v>0</v>
      </c>
      <c r="L78" s="52">
        <f>IFERROR(__xludf.DUMMYFUNCTION("""COMPUTED_VALUE"""),0.0)</f>
        <v>0</v>
      </c>
      <c r="M78" s="52">
        <f>IFERROR(__xludf.DUMMYFUNCTION("""COMPUTED_VALUE"""),0.0)</f>
        <v>0</v>
      </c>
      <c r="N78" s="52">
        <f>IFERROR(__xludf.DUMMYFUNCTION("""COMPUTED_VALUE"""),0.0)</f>
        <v>0</v>
      </c>
      <c r="O78" s="52">
        <f>IFERROR(__xludf.DUMMYFUNCTION("""COMPUTED_VALUE"""),3.24950958E8)</f>
        <v>324950958</v>
      </c>
      <c r="P78" s="53">
        <f>IFERROR(__xludf.DUMMYFUNCTION("""COMPUTED_VALUE"""),0.8417213456686795)</f>
        <v>0.8417213457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52">
        <f>IFERROR(__xludf.DUMMYFUNCTION("""COMPUTED_VALUE"""),2033123.0)</f>
        <v>2033123</v>
      </c>
      <c r="C79" s="52">
        <f>IFERROR(__xludf.DUMMYFUNCTION("""COMPUTED_VALUE"""),2289713.0)</f>
        <v>2289713</v>
      </c>
      <c r="D79" s="52">
        <f>IFERROR(__xludf.DUMMYFUNCTION("""COMPUTED_VALUE"""),2501962.0)</f>
        <v>2501962</v>
      </c>
      <c r="E79" s="52">
        <f>IFERROR(__xludf.DUMMYFUNCTION("""COMPUTED_VALUE"""),2260082.0)</f>
        <v>2260082</v>
      </c>
      <c r="F79" s="52">
        <f>IFERROR(__xludf.DUMMYFUNCTION("""COMPUTED_VALUE"""),2383995.0)</f>
        <v>2383995</v>
      </c>
      <c r="G79" s="52">
        <f>IFERROR(__xludf.DUMMYFUNCTION("""COMPUTED_VALUE"""),2381772.0)</f>
        <v>2381772</v>
      </c>
      <c r="H79" s="24"/>
      <c r="I79" s="52">
        <f>IFERROR(__xludf.DUMMYFUNCTION("""COMPUTED_VALUE"""),2487668.0)</f>
        <v>2487668</v>
      </c>
      <c r="J79" s="52">
        <f>IFERROR(__xludf.DUMMYFUNCTION("""COMPUTED_VALUE"""),2186478.0)</f>
        <v>2186478</v>
      </c>
      <c r="K79" s="52">
        <f>IFERROR(__xludf.DUMMYFUNCTION("""COMPUTED_VALUE"""),0.0)</f>
        <v>0</v>
      </c>
      <c r="L79" s="52">
        <f>IFERROR(__xludf.DUMMYFUNCTION("""COMPUTED_VALUE"""),0.0)</f>
        <v>0</v>
      </c>
      <c r="M79" s="52">
        <f>IFERROR(__xludf.DUMMYFUNCTION("""COMPUTED_VALUE"""),0.0)</f>
        <v>0</v>
      </c>
      <c r="N79" s="52">
        <f>IFERROR(__xludf.DUMMYFUNCTION("""COMPUTED_VALUE"""),0.0)</f>
        <v>0</v>
      </c>
      <c r="O79" s="52">
        <f>IFERROR(__xludf.DUMMYFUNCTION("""COMPUTED_VALUE"""),1.8524793E7)</f>
        <v>18524793</v>
      </c>
      <c r="P79" s="53">
        <f>IFERROR(__xludf.DUMMYFUNCTION("""COMPUTED_VALUE"""),0.04798482142709588)</f>
        <v>0.04798482143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52">
        <f>IFERROR(__xludf.DUMMYFUNCTION("""COMPUTED_VALUE"""),3760454.0)</f>
        <v>3760454</v>
      </c>
      <c r="C80" s="52">
        <f>IFERROR(__xludf.DUMMYFUNCTION("""COMPUTED_VALUE"""),3922992.0)</f>
        <v>3922992</v>
      </c>
      <c r="D80" s="52">
        <f>IFERROR(__xludf.DUMMYFUNCTION("""COMPUTED_VALUE"""),4378234.0)</f>
        <v>4378234</v>
      </c>
      <c r="E80" s="52">
        <f>IFERROR(__xludf.DUMMYFUNCTION("""COMPUTED_VALUE"""),4019484.0)</f>
        <v>4019484</v>
      </c>
      <c r="F80" s="52">
        <f>IFERROR(__xludf.DUMMYFUNCTION("""COMPUTED_VALUE"""),3954221.0)</f>
        <v>3954221</v>
      </c>
      <c r="G80" s="52">
        <f>IFERROR(__xludf.DUMMYFUNCTION("""COMPUTED_VALUE"""),4346031.0)</f>
        <v>4346031</v>
      </c>
      <c r="H80" s="24"/>
      <c r="I80" s="52">
        <f>IFERROR(__xludf.DUMMYFUNCTION("""COMPUTED_VALUE"""),4679393.0)</f>
        <v>4679393</v>
      </c>
      <c r="J80" s="52">
        <f>IFERROR(__xludf.DUMMYFUNCTION("""COMPUTED_VALUE"""),4729447.0)</f>
        <v>4729447</v>
      </c>
      <c r="K80" s="52">
        <f>IFERROR(__xludf.DUMMYFUNCTION("""COMPUTED_VALUE"""),0.0)</f>
        <v>0</v>
      </c>
      <c r="L80" s="52">
        <f>IFERROR(__xludf.DUMMYFUNCTION("""COMPUTED_VALUE"""),0.0)</f>
        <v>0</v>
      </c>
      <c r="M80" s="52">
        <f>IFERROR(__xludf.DUMMYFUNCTION("""COMPUTED_VALUE"""),0.0)</f>
        <v>0</v>
      </c>
      <c r="N80" s="52">
        <f>IFERROR(__xludf.DUMMYFUNCTION("""COMPUTED_VALUE"""),0.0)</f>
        <v>0</v>
      </c>
      <c r="O80" s="52">
        <f>IFERROR(__xludf.DUMMYFUNCTION("""COMPUTED_VALUE"""),3.3790256E7)</f>
        <v>33790256</v>
      </c>
      <c r="P80" s="53">
        <f>IFERROR(__xludf.DUMMYFUNCTION("""COMPUTED_VALUE"""),0.08752699153700963)</f>
        <v>0.08752699154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52">
        <f>IFERROR(__xludf.DUMMYFUNCTION("""COMPUTED_VALUE"""),1119736.0)</f>
        <v>1119736</v>
      </c>
      <c r="C81" s="52">
        <f>IFERROR(__xludf.DUMMYFUNCTION("""COMPUTED_VALUE"""),1185257.0)</f>
        <v>1185257</v>
      </c>
      <c r="D81" s="52">
        <f>IFERROR(__xludf.DUMMYFUNCTION("""COMPUTED_VALUE"""),1046819.0)</f>
        <v>1046819</v>
      </c>
      <c r="E81" s="52">
        <f>IFERROR(__xludf.DUMMYFUNCTION("""COMPUTED_VALUE"""),1116244.0)</f>
        <v>1116244</v>
      </c>
      <c r="F81" s="52">
        <f>IFERROR(__xludf.DUMMYFUNCTION("""COMPUTED_VALUE"""),1167717.0)</f>
        <v>1167717</v>
      </c>
      <c r="G81" s="52">
        <f>IFERROR(__xludf.DUMMYFUNCTION("""COMPUTED_VALUE"""),1084909.0)</f>
        <v>1084909</v>
      </c>
      <c r="H81" s="24"/>
      <c r="I81" s="52">
        <f>IFERROR(__xludf.DUMMYFUNCTION("""COMPUTED_VALUE"""),928063.0)</f>
        <v>928063</v>
      </c>
      <c r="J81" s="52">
        <f>IFERROR(__xludf.DUMMYFUNCTION("""COMPUTED_VALUE"""),1140514.0)</f>
        <v>1140514</v>
      </c>
      <c r="K81" s="52">
        <f>IFERROR(__xludf.DUMMYFUNCTION("""COMPUTED_VALUE"""),0.0)</f>
        <v>0</v>
      </c>
      <c r="L81" s="52">
        <f>IFERROR(__xludf.DUMMYFUNCTION("""COMPUTED_VALUE"""),0.0)</f>
        <v>0</v>
      </c>
      <c r="M81" s="52">
        <f>IFERROR(__xludf.DUMMYFUNCTION("""COMPUTED_VALUE"""),0.0)</f>
        <v>0</v>
      </c>
      <c r="N81" s="52">
        <f>IFERROR(__xludf.DUMMYFUNCTION("""COMPUTED_VALUE"""),0.0)</f>
        <v>0</v>
      </c>
      <c r="O81" s="52">
        <f>IFERROR(__xludf.DUMMYFUNCTION("""COMPUTED_VALUE"""),8789259.0)</f>
        <v>8789259</v>
      </c>
      <c r="P81" s="53">
        <f>IFERROR(__xludf.DUMMYFUNCTION("""COMPUTED_VALUE"""),0.022766841367215025)</f>
        <v>0.02276684137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46">
        <f>IFERROR(__xludf.DUMMYFUNCTION("""COMPUTED_VALUE"""),0.0)</f>
        <v>0</v>
      </c>
      <c r="C82" s="46">
        <f>IFERROR(__xludf.DUMMYFUNCTION("""COMPUTED_VALUE"""),0.0)</f>
        <v>0</v>
      </c>
      <c r="D82" s="46">
        <f>IFERROR(__xludf.DUMMYFUNCTION("""COMPUTED_VALUE"""),0.0)</f>
        <v>0</v>
      </c>
      <c r="E82" s="46">
        <f>IFERROR(__xludf.DUMMYFUNCTION("""COMPUTED_VALUE"""),0.0)</f>
        <v>0</v>
      </c>
      <c r="F82" s="46">
        <f>IFERROR(__xludf.DUMMYFUNCTION("""COMPUTED_VALUE"""),0.0)</f>
        <v>0</v>
      </c>
      <c r="G82" s="46">
        <f>IFERROR(__xludf.DUMMYFUNCTION("""COMPUTED_VALUE"""),0.0)</f>
        <v>0</v>
      </c>
      <c r="H82" s="24"/>
      <c r="I82" s="46">
        <f>IFERROR(__xludf.DUMMYFUNCTION("""COMPUTED_VALUE"""),0.0)</f>
        <v>0</v>
      </c>
      <c r="J82" s="46">
        <f>IFERROR(__xludf.DUMMYFUNCTION("""COMPUTED_VALUE"""),0.0)</f>
        <v>0</v>
      </c>
      <c r="K82" s="46">
        <f>IFERROR(__xludf.DUMMYFUNCTION("""COMPUTED_VALUE"""),0.0)</f>
        <v>0</v>
      </c>
      <c r="L82" s="46">
        <f>IFERROR(__xludf.DUMMYFUNCTION("""COMPUTED_VALUE"""),0.0)</f>
        <v>0</v>
      </c>
      <c r="M82" s="46">
        <f>IFERROR(__xludf.DUMMYFUNCTION("""COMPUTED_VALUE"""),0.0)</f>
        <v>0</v>
      </c>
      <c r="N82" s="46">
        <f>IFERROR(__xludf.DUMMYFUNCTION("""COMPUTED_VALUE"""),0.0)</f>
        <v>0</v>
      </c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46">
        <f>IFERROR(__xludf.DUMMYFUNCTION("""COMPUTED_VALUE"""),5280.0)</f>
        <v>5280</v>
      </c>
      <c r="C83" s="46">
        <f>IFERROR(__xludf.DUMMYFUNCTION("""COMPUTED_VALUE"""),5280.0)</f>
        <v>5280</v>
      </c>
      <c r="D83" s="46">
        <f>IFERROR(__xludf.DUMMYFUNCTION("""COMPUTED_VALUE"""),6400.0)</f>
        <v>6400</v>
      </c>
      <c r="E83" s="46">
        <f>IFERROR(__xludf.DUMMYFUNCTION("""COMPUTED_VALUE"""),5280.0)</f>
        <v>5280</v>
      </c>
      <c r="F83" s="46">
        <f>IFERROR(__xludf.DUMMYFUNCTION("""COMPUTED_VALUE"""),5280.0)</f>
        <v>5280</v>
      </c>
      <c r="G83" s="46">
        <f>IFERROR(__xludf.DUMMYFUNCTION("""COMPUTED_VALUE"""),5280.0)</f>
        <v>5280</v>
      </c>
      <c r="H83" s="24"/>
      <c r="I83" s="46">
        <f>IFERROR(__xludf.DUMMYFUNCTION("""COMPUTED_VALUE"""),0.0)</f>
        <v>0</v>
      </c>
      <c r="J83" s="46">
        <f>IFERROR(__xludf.DUMMYFUNCTION("""COMPUTED_VALUE"""),5280.0)</f>
        <v>5280</v>
      </c>
      <c r="K83" s="46">
        <f>IFERROR(__xludf.DUMMYFUNCTION("""COMPUTED_VALUE"""),0.0)</f>
        <v>0</v>
      </c>
      <c r="L83" s="46">
        <f>IFERROR(__xludf.DUMMYFUNCTION("""COMPUTED_VALUE"""),0.0)</f>
        <v>0</v>
      </c>
      <c r="M83" s="46">
        <f>IFERROR(__xludf.DUMMYFUNCTION("""COMPUTED_VALUE"""),0.0)</f>
        <v>0</v>
      </c>
      <c r="N83" s="46">
        <f>IFERROR(__xludf.DUMMYFUNCTION("""COMPUTED_VALUE"""),0.0)</f>
        <v>0</v>
      </c>
      <c r="O83" s="46">
        <f>IFERROR(__xludf.DUMMYFUNCTION("""COMPUTED_VALUE"""),38080.0)</f>
        <v>38080</v>
      </c>
      <c r="P83" s="47">
        <f>IFERROR(__xludf.DUMMYFUNCTION("""COMPUTED_VALUE"""),4.018159814665141E-5)</f>
        <v>0.00004018159815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IFERROR(__xludf.DUMMYFUNCTION("""COMPUTED_VALUE"""),594158.0)</f>
        <v>594158</v>
      </c>
      <c r="C84" s="46">
        <f>IFERROR(__xludf.DUMMYFUNCTION("""COMPUTED_VALUE"""),627100.0)</f>
        <v>627100</v>
      </c>
      <c r="D84" s="46">
        <f>IFERROR(__xludf.DUMMYFUNCTION("""COMPUTED_VALUE"""),1297065.0)</f>
        <v>1297065</v>
      </c>
      <c r="E84" s="46">
        <f>IFERROR(__xludf.DUMMYFUNCTION("""COMPUTED_VALUE"""),652604.0)</f>
        <v>652604</v>
      </c>
      <c r="F84" s="46">
        <f>IFERROR(__xludf.DUMMYFUNCTION("""COMPUTED_VALUE"""),729509.0)</f>
        <v>729509</v>
      </c>
      <c r="G84" s="46">
        <f>IFERROR(__xludf.DUMMYFUNCTION("""COMPUTED_VALUE"""),668407.0)</f>
        <v>668407</v>
      </c>
      <c r="H84" s="24"/>
      <c r="I84" s="46">
        <f>IFERROR(__xludf.DUMMYFUNCTION("""COMPUTED_VALUE"""),677969.0)</f>
        <v>677969</v>
      </c>
      <c r="J84" s="46">
        <f>IFERROR(__xludf.DUMMYFUNCTION("""COMPUTED_VALUE"""),696164.0)</f>
        <v>696164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IFERROR(__xludf.DUMMYFUNCTION("""COMPUTED_VALUE"""),5942976.0)</f>
        <v>5942976</v>
      </c>
      <c r="P84" s="47">
        <f>IFERROR(__xludf.DUMMYFUNCTION("""COMPUTED_VALUE"""),0.006270963062688913)</f>
        <v>0.006270963063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52">
        <f>IFERROR(__xludf.DUMMYFUNCTION("""COMPUTED_VALUE"""),319087.0)</f>
        <v>319087</v>
      </c>
      <c r="C85" s="52">
        <f>IFERROR(__xludf.DUMMYFUNCTION("""COMPUTED_VALUE"""),325055.0)</f>
        <v>325055</v>
      </c>
      <c r="D85" s="52">
        <f>IFERROR(__xludf.DUMMYFUNCTION("""COMPUTED_VALUE"""),331425.0)</f>
        <v>331425</v>
      </c>
      <c r="E85" s="52">
        <f>IFERROR(__xludf.DUMMYFUNCTION("""COMPUTED_VALUE"""),342793.0)</f>
        <v>342793</v>
      </c>
      <c r="F85" s="52">
        <f>IFERROR(__xludf.DUMMYFUNCTION("""COMPUTED_VALUE"""),323845.0)</f>
        <v>323845</v>
      </c>
      <c r="G85" s="52">
        <f>IFERROR(__xludf.DUMMYFUNCTION("""COMPUTED_VALUE"""),311563.0)</f>
        <v>311563</v>
      </c>
      <c r="H85" s="24"/>
      <c r="I85" s="52">
        <f>IFERROR(__xludf.DUMMYFUNCTION("""COMPUTED_VALUE"""),323470.0)</f>
        <v>323470</v>
      </c>
      <c r="J85" s="52">
        <f>IFERROR(__xludf.DUMMYFUNCTION("""COMPUTED_VALUE"""),351327.0)</f>
        <v>351327</v>
      </c>
      <c r="K85" s="52">
        <f>IFERROR(__xludf.DUMMYFUNCTION("""COMPUTED_VALUE"""),0.0)</f>
        <v>0</v>
      </c>
      <c r="L85" s="52">
        <f>IFERROR(__xludf.DUMMYFUNCTION("""COMPUTED_VALUE"""),0.0)</f>
        <v>0</v>
      </c>
      <c r="M85" s="52">
        <f>IFERROR(__xludf.DUMMYFUNCTION("""COMPUTED_VALUE"""),0.0)</f>
        <v>0</v>
      </c>
      <c r="N85" s="52">
        <f>IFERROR(__xludf.DUMMYFUNCTION("""COMPUTED_VALUE"""),0.0)</f>
        <v>0</v>
      </c>
      <c r="O85" s="52">
        <f>IFERROR(__xludf.DUMMYFUNCTION("""COMPUTED_VALUE"""),2628565.0)</f>
        <v>2628565</v>
      </c>
      <c r="P85" s="53">
        <f>IFERROR(__xludf.DUMMYFUNCTION("""COMPUTED_VALUE"""),0.4422977646216306)</f>
        <v>0.4422977646</v>
      </c>
      <c r="Q85" s="16"/>
    </row>
    <row r="86" ht="15.75" customHeight="1">
      <c r="A86" s="51" t="str">
        <f>IFERROR(__xludf.DUMMYFUNCTION("""COMPUTED_VALUE"""),"電話代行料")</f>
        <v>電話代行料</v>
      </c>
      <c r="B86" s="52">
        <f>IFERROR(__xludf.DUMMYFUNCTION("""COMPUTED_VALUE"""),48290.0)</f>
        <v>48290</v>
      </c>
      <c r="C86" s="52">
        <f>IFERROR(__xludf.DUMMYFUNCTION("""COMPUTED_VALUE"""),51370.0)</f>
        <v>51370</v>
      </c>
      <c r="D86" s="52">
        <f>IFERROR(__xludf.DUMMYFUNCTION("""COMPUTED_VALUE"""),50930.0)</f>
        <v>50930</v>
      </c>
      <c r="E86" s="52">
        <f>IFERROR(__xludf.DUMMYFUNCTION("""COMPUTED_VALUE"""),52250.0)</f>
        <v>52250</v>
      </c>
      <c r="F86" s="52">
        <f>IFERROR(__xludf.DUMMYFUNCTION("""COMPUTED_VALUE"""),50270.0)</f>
        <v>50270</v>
      </c>
      <c r="G86" s="52">
        <f>IFERROR(__xludf.DUMMYFUNCTION("""COMPUTED_VALUE"""),48290.0)</f>
        <v>48290</v>
      </c>
      <c r="H86" s="24"/>
      <c r="I86" s="52">
        <f>IFERROR(__xludf.DUMMYFUNCTION("""COMPUTED_VALUE"""),49500.0)</f>
        <v>49500</v>
      </c>
      <c r="J86" s="52">
        <f>IFERROR(__xludf.DUMMYFUNCTION("""COMPUTED_VALUE"""),50930.0)</f>
        <v>50930</v>
      </c>
      <c r="K86" s="52">
        <f>IFERROR(__xludf.DUMMYFUNCTION("""COMPUTED_VALUE"""),0.0)</f>
        <v>0</v>
      </c>
      <c r="L86" s="52">
        <f>IFERROR(__xludf.DUMMYFUNCTION("""COMPUTED_VALUE"""),0.0)</f>
        <v>0</v>
      </c>
      <c r="M86" s="52">
        <f>IFERROR(__xludf.DUMMYFUNCTION("""COMPUTED_VALUE"""),0.0)</f>
        <v>0</v>
      </c>
      <c r="N86" s="52">
        <f>IFERROR(__xludf.DUMMYFUNCTION("""COMPUTED_VALUE"""),0.0)</f>
        <v>0</v>
      </c>
      <c r="O86" s="52">
        <f>IFERROR(__xludf.DUMMYFUNCTION("""COMPUTED_VALUE"""),401830.0)</f>
        <v>401830</v>
      </c>
      <c r="P86" s="53">
        <f>IFERROR(__xludf.DUMMYFUNCTION("""COMPUTED_VALUE"""),0.0676142727145457)</f>
        <v>0.06761427271</v>
      </c>
      <c r="Q86" s="16"/>
    </row>
    <row r="87" ht="15.75" customHeight="1">
      <c r="A87" s="51" t="str">
        <f>IFERROR(__xludf.DUMMYFUNCTION("""COMPUTED_VALUE"""),"大学訪問")</f>
        <v>大学訪問</v>
      </c>
      <c r="B87" s="52">
        <f>IFERROR(__xludf.DUMMYFUNCTION("""COMPUTED_VALUE"""),0.0)</f>
        <v>0</v>
      </c>
      <c r="C87" s="52">
        <f>IFERROR(__xludf.DUMMYFUNCTION("""COMPUTED_VALUE"""),0.0)</f>
        <v>0</v>
      </c>
      <c r="D87" s="52">
        <f>IFERROR(__xludf.DUMMYFUNCTION("""COMPUTED_VALUE"""),0.0)</f>
        <v>0</v>
      </c>
      <c r="E87" s="52">
        <f>IFERROR(__xludf.DUMMYFUNCTION("""COMPUTED_VALUE"""),0.0)</f>
        <v>0</v>
      </c>
      <c r="F87" s="52">
        <f>IFERROR(__xludf.DUMMYFUNCTION("""COMPUTED_VALUE"""),0.0)</f>
        <v>0</v>
      </c>
      <c r="G87" s="52">
        <f>IFERROR(__xludf.DUMMYFUNCTION("""COMPUTED_VALUE"""),0.0)</f>
        <v>0</v>
      </c>
      <c r="H87" s="24"/>
      <c r="I87" s="52">
        <f>IFERROR(__xludf.DUMMYFUNCTION("""COMPUTED_VALUE"""),0.0)</f>
        <v>0</v>
      </c>
      <c r="J87" s="52">
        <f>IFERROR(__xludf.DUMMYFUNCTION("""COMPUTED_VALUE"""),0.0)</f>
        <v>0</v>
      </c>
      <c r="K87" s="52">
        <f>IFERROR(__xludf.DUMMYFUNCTION("""COMPUTED_VALUE"""),0.0)</f>
        <v>0</v>
      </c>
      <c r="L87" s="52">
        <f>IFERROR(__xludf.DUMMYFUNCTION("""COMPUTED_VALUE"""),0.0)</f>
        <v>0</v>
      </c>
      <c r="M87" s="52">
        <f>IFERROR(__xludf.DUMMYFUNCTION("""COMPUTED_VALUE"""),0.0)</f>
        <v>0</v>
      </c>
      <c r="N87" s="52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52">
        <f>IFERROR(__xludf.DUMMYFUNCTION("""COMPUTED_VALUE"""),226781.0)</f>
        <v>226781</v>
      </c>
      <c r="C88" s="52">
        <f>IFERROR(__xludf.DUMMYFUNCTION("""COMPUTED_VALUE"""),250675.0)</f>
        <v>250675</v>
      </c>
      <c r="D88" s="52">
        <f>IFERROR(__xludf.DUMMYFUNCTION("""COMPUTED_VALUE"""),914710.0)</f>
        <v>914710</v>
      </c>
      <c r="E88" s="52">
        <f>IFERROR(__xludf.DUMMYFUNCTION("""COMPUTED_VALUE"""),257561.0)</f>
        <v>257561</v>
      </c>
      <c r="F88" s="52">
        <f>IFERROR(__xludf.DUMMYFUNCTION("""COMPUTED_VALUE"""),355394.0)</f>
        <v>355394</v>
      </c>
      <c r="G88" s="52">
        <f>IFERROR(__xludf.DUMMYFUNCTION("""COMPUTED_VALUE"""),308554.0)</f>
        <v>308554</v>
      </c>
      <c r="H88" s="24"/>
      <c r="I88" s="52">
        <f>IFERROR(__xludf.DUMMYFUNCTION("""COMPUTED_VALUE"""),304999.0)</f>
        <v>304999</v>
      </c>
      <c r="J88" s="52">
        <f>IFERROR(__xludf.DUMMYFUNCTION("""COMPUTED_VALUE"""),293907.0)</f>
        <v>293907</v>
      </c>
      <c r="K88" s="52">
        <f>IFERROR(__xludf.DUMMYFUNCTION("""COMPUTED_VALUE"""),0.0)</f>
        <v>0</v>
      </c>
      <c r="L88" s="52">
        <f>IFERROR(__xludf.DUMMYFUNCTION("""COMPUTED_VALUE"""),0.0)</f>
        <v>0</v>
      </c>
      <c r="M88" s="52">
        <f>IFERROR(__xludf.DUMMYFUNCTION("""COMPUTED_VALUE"""),0.0)</f>
        <v>0</v>
      </c>
      <c r="N88" s="52">
        <f>IFERROR(__xludf.DUMMYFUNCTION("""COMPUTED_VALUE"""),0.0)</f>
        <v>0</v>
      </c>
      <c r="O88" s="52">
        <f>IFERROR(__xludf.DUMMYFUNCTION("""COMPUTED_VALUE"""),2912581.0)</f>
        <v>2912581</v>
      </c>
      <c r="P88" s="53">
        <f>IFERROR(__xludf.DUMMYFUNCTION("""COMPUTED_VALUE"""),0.49008796266382365)</f>
        <v>0.4900879627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IFERROR(__xludf.DUMMYFUNCTION("""COMPUTED_VALUE"""),6343373.0)</f>
        <v>6343373</v>
      </c>
      <c r="C89" s="46">
        <f>IFERROR(__xludf.DUMMYFUNCTION("""COMPUTED_VALUE"""),5308568.0)</f>
        <v>5308568</v>
      </c>
      <c r="D89" s="46">
        <f>IFERROR(__xludf.DUMMYFUNCTION("""COMPUTED_VALUE"""),5516431.0)</f>
        <v>5516431</v>
      </c>
      <c r="E89" s="46">
        <f>IFERROR(__xludf.DUMMYFUNCTION("""COMPUTED_VALUE"""),6726539.0)</f>
        <v>6726539</v>
      </c>
      <c r="F89" s="46">
        <f>IFERROR(__xludf.DUMMYFUNCTION("""COMPUTED_VALUE"""),5475397.0)</f>
        <v>5475397</v>
      </c>
      <c r="G89" s="46">
        <f>IFERROR(__xludf.DUMMYFUNCTION("""COMPUTED_VALUE"""),6450063.0)</f>
        <v>6450063</v>
      </c>
      <c r="H89" s="24"/>
      <c r="I89" s="46">
        <f>IFERROR(__xludf.DUMMYFUNCTION("""COMPUTED_VALUE"""),6578561.0)</f>
        <v>6578561</v>
      </c>
      <c r="J89" s="46">
        <f>IFERROR(__xludf.DUMMYFUNCTION("""COMPUTED_VALUE"""),7661116.0)</f>
        <v>7661116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IFERROR(__xludf.DUMMYFUNCTION("""COMPUTED_VALUE"""),5.0060048E7)</f>
        <v>50060048</v>
      </c>
      <c r="P89" s="47">
        <f>IFERROR(__xludf.DUMMYFUNCTION("""COMPUTED_VALUE"""),0.052822813338710105)</f>
        <v>0.05282281334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52">
        <f>IFERROR(__xludf.DUMMYFUNCTION("""COMPUTED_VALUE"""),540540.0)</f>
        <v>540540</v>
      </c>
      <c r="C90" s="52">
        <f>IFERROR(__xludf.DUMMYFUNCTION("""COMPUTED_VALUE"""),739310.0)</f>
        <v>739310</v>
      </c>
      <c r="D90" s="52">
        <f>IFERROR(__xludf.DUMMYFUNCTION("""COMPUTED_VALUE"""),573430.0)</f>
        <v>573430</v>
      </c>
      <c r="E90" s="52">
        <f>IFERROR(__xludf.DUMMYFUNCTION("""COMPUTED_VALUE"""),514030.0)</f>
        <v>514030</v>
      </c>
      <c r="F90" s="52">
        <f>IFERROR(__xludf.DUMMYFUNCTION("""COMPUTED_VALUE"""),312400.0)</f>
        <v>312400</v>
      </c>
      <c r="G90" s="52">
        <f>IFERROR(__xludf.DUMMYFUNCTION("""COMPUTED_VALUE"""),370040.0)</f>
        <v>370040</v>
      </c>
      <c r="H90" s="24"/>
      <c r="I90" s="52">
        <f>IFERROR(__xludf.DUMMYFUNCTION("""COMPUTED_VALUE"""),577390.0)</f>
        <v>577390</v>
      </c>
      <c r="J90" s="52">
        <f>IFERROR(__xludf.DUMMYFUNCTION("""COMPUTED_VALUE"""),271700.0)</f>
        <v>271700</v>
      </c>
      <c r="K90" s="52">
        <f>IFERROR(__xludf.DUMMYFUNCTION("""COMPUTED_VALUE"""),0.0)</f>
        <v>0</v>
      </c>
      <c r="L90" s="52">
        <f>IFERROR(__xludf.DUMMYFUNCTION("""COMPUTED_VALUE"""),0.0)</f>
        <v>0</v>
      </c>
      <c r="M90" s="52">
        <f>IFERROR(__xludf.DUMMYFUNCTION("""COMPUTED_VALUE"""),0.0)</f>
        <v>0</v>
      </c>
      <c r="N90" s="52">
        <f>IFERROR(__xludf.DUMMYFUNCTION("""COMPUTED_VALUE"""),0.0)</f>
        <v>0</v>
      </c>
      <c r="O90" s="52">
        <f>IFERROR(__xludf.DUMMYFUNCTION("""COMPUTED_VALUE"""),3898840.0)</f>
        <v>3898840</v>
      </c>
      <c r="P90" s="53">
        <f>IFERROR(__xludf.DUMMYFUNCTION("""COMPUTED_VALUE"""),0.07788326531368887)</f>
        <v>0.07788326531</v>
      </c>
      <c r="Q90" s="16"/>
    </row>
    <row r="91" ht="15.75" customHeight="1">
      <c r="A91" s="51" t="str">
        <f>IFERROR(__xludf.DUMMYFUNCTION("""COMPUTED_VALUE"""),"その他")</f>
        <v>その他</v>
      </c>
      <c r="B91" s="52">
        <f>IFERROR(__xludf.DUMMYFUNCTION("""COMPUTED_VALUE"""),5802833.0)</f>
        <v>5802833</v>
      </c>
      <c r="C91" s="52">
        <f>IFERROR(__xludf.DUMMYFUNCTION("""COMPUTED_VALUE"""),4569258.0)</f>
        <v>4569258</v>
      </c>
      <c r="D91" s="52">
        <f>IFERROR(__xludf.DUMMYFUNCTION("""COMPUTED_VALUE"""),4943001.0)</f>
        <v>4943001</v>
      </c>
      <c r="E91" s="52">
        <f>IFERROR(__xludf.DUMMYFUNCTION("""COMPUTED_VALUE"""),6212509.0)</f>
        <v>6212509</v>
      </c>
      <c r="F91" s="52">
        <f>IFERROR(__xludf.DUMMYFUNCTION("""COMPUTED_VALUE"""),5162997.0)</f>
        <v>5162997</v>
      </c>
      <c r="G91" s="52">
        <f>IFERROR(__xludf.DUMMYFUNCTION("""COMPUTED_VALUE"""),6080023.0)</f>
        <v>6080023</v>
      </c>
      <c r="H91" s="24"/>
      <c r="I91" s="52">
        <f>IFERROR(__xludf.DUMMYFUNCTION("""COMPUTED_VALUE"""),6001171.0)</f>
        <v>6001171</v>
      </c>
      <c r="J91" s="52">
        <f>IFERROR(__xludf.DUMMYFUNCTION("""COMPUTED_VALUE"""),7389416.0)</f>
        <v>7389416</v>
      </c>
      <c r="K91" s="52">
        <f>IFERROR(__xludf.DUMMYFUNCTION("""COMPUTED_VALUE"""),0.0)</f>
        <v>0</v>
      </c>
      <c r="L91" s="52">
        <f>IFERROR(__xludf.DUMMYFUNCTION("""COMPUTED_VALUE"""),0.0)</f>
        <v>0</v>
      </c>
      <c r="M91" s="52">
        <f>IFERROR(__xludf.DUMMYFUNCTION("""COMPUTED_VALUE"""),0.0)</f>
        <v>0</v>
      </c>
      <c r="N91" s="52">
        <f>IFERROR(__xludf.DUMMYFUNCTION("""COMPUTED_VALUE"""),0.0)</f>
        <v>0</v>
      </c>
      <c r="O91" s="52">
        <f>IFERROR(__xludf.DUMMYFUNCTION("""COMPUTED_VALUE"""),4.6161208E7)</f>
        <v>46161208</v>
      </c>
      <c r="P91" s="53">
        <f>IFERROR(__xludf.DUMMYFUNCTION("""COMPUTED_VALUE"""),8.0518412E7)</f>
        <v>80518412</v>
      </c>
      <c r="Q91" s="16">
        <f>IFERROR(__xludf.DUMMYFUNCTION("""COMPUTED_VALUE"""),1.5243113138200412E9)</f>
        <v>1524311314</v>
      </c>
    </row>
    <row r="92" ht="15.75" customHeight="1">
      <c r="A92" s="48" t="str">
        <f>IFERROR(__xludf.DUMMYFUNCTION("""COMPUTED_VALUE"""),"制作費")</f>
        <v>制作費</v>
      </c>
      <c r="B92" s="46">
        <f>IFERROR(__xludf.DUMMYFUNCTION("""COMPUTED_VALUE"""),7665945.0)</f>
        <v>7665945</v>
      </c>
      <c r="C92" s="46">
        <f>IFERROR(__xludf.DUMMYFUNCTION("""COMPUTED_VALUE"""),688227.0)</f>
        <v>688227</v>
      </c>
      <c r="D92" s="46">
        <f>IFERROR(__xludf.DUMMYFUNCTION("""COMPUTED_VALUE"""),323398.0)</f>
        <v>323398</v>
      </c>
      <c r="E92" s="46">
        <f>IFERROR(__xludf.DUMMYFUNCTION("""COMPUTED_VALUE"""),3930754.0)</f>
        <v>3930754</v>
      </c>
      <c r="F92" s="46">
        <f>IFERROR(__xludf.DUMMYFUNCTION("""COMPUTED_VALUE"""),2307930.0)</f>
        <v>2307930</v>
      </c>
      <c r="G92" s="46">
        <f>IFERROR(__xludf.DUMMYFUNCTION("""COMPUTED_VALUE"""),4537925.0)</f>
        <v>4537925</v>
      </c>
      <c r="H92" s="24"/>
      <c r="I92" s="46">
        <f>IFERROR(__xludf.DUMMYFUNCTION("""COMPUTED_VALUE"""),294210.0)</f>
        <v>294210</v>
      </c>
      <c r="J92" s="46">
        <f>IFERROR(__xludf.DUMMYFUNCTION("""COMPUTED_VALUE"""),1579170.0)</f>
        <v>1579170</v>
      </c>
      <c r="K92" s="46">
        <f>IFERROR(__xludf.DUMMYFUNCTION("""COMPUTED_VALUE"""),0.0)</f>
        <v>0</v>
      </c>
      <c r="L92" s="46">
        <f>IFERROR(__xludf.DUMMYFUNCTION("""COMPUTED_VALUE"""),0.0)</f>
        <v>0</v>
      </c>
      <c r="M92" s="46">
        <f>IFERROR(__xludf.DUMMYFUNCTION("""COMPUTED_VALUE"""),0.0)</f>
        <v>0</v>
      </c>
      <c r="N92" s="46">
        <f>IFERROR(__xludf.DUMMYFUNCTION("""COMPUTED_VALUE"""),0.0)</f>
        <v>0</v>
      </c>
      <c r="O92" s="46">
        <f>IFERROR(__xludf.DUMMYFUNCTION("""COMPUTED_VALUE"""),2.1327559E7)</f>
        <v>21327559</v>
      </c>
      <c r="P92" s="47">
        <f>IFERROR(__xludf.DUMMYFUNCTION("""COMPUTED_VALUE"""),0.022504606228650175)</f>
        <v>0.02250460623</v>
      </c>
      <c r="Q92" s="16"/>
    </row>
    <row r="93" ht="15.75" customHeight="1">
      <c r="A93" s="48" t="str">
        <f>IFERROR(__xludf.DUMMYFUNCTION("""COMPUTED_VALUE"""),"販売促進費")</f>
        <v>販売促進費</v>
      </c>
      <c r="B93" s="46">
        <f>IFERROR(__xludf.DUMMYFUNCTION("""COMPUTED_VALUE"""),2434352.0)</f>
        <v>2434352</v>
      </c>
      <c r="C93" s="46">
        <f>IFERROR(__xludf.DUMMYFUNCTION("""COMPUTED_VALUE"""),3461095.0)</f>
        <v>3461095</v>
      </c>
      <c r="D93" s="46">
        <f>IFERROR(__xludf.DUMMYFUNCTION("""COMPUTED_VALUE"""),2561040.0)</f>
        <v>2561040</v>
      </c>
      <c r="E93" s="46">
        <f>IFERROR(__xludf.DUMMYFUNCTION("""COMPUTED_VALUE"""),2432130.0)</f>
        <v>2432130</v>
      </c>
      <c r="F93" s="46">
        <f>IFERROR(__xludf.DUMMYFUNCTION("""COMPUTED_VALUE"""),2675878.0)</f>
        <v>2675878</v>
      </c>
      <c r="G93" s="46">
        <f>IFERROR(__xludf.DUMMYFUNCTION("""COMPUTED_VALUE"""),3895683.0)</f>
        <v>3895683</v>
      </c>
      <c r="H93" s="24"/>
      <c r="I93" s="46">
        <f>IFERROR(__xludf.DUMMYFUNCTION("""COMPUTED_VALUE"""),2406500.0)</f>
        <v>2406500</v>
      </c>
      <c r="J93" s="46">
        <f>IFERROR(__xludf.DUMMYFUNCTION("""COMPUTED_VALUE"""),2159500.0)</f>
        <v>2159500</v>
      </c>
      <c r="K93" s="46">
        <f>IFERROR(__xludf.DUMMYFUNCTION("""COMPUTED_VALUE"""),0.0)</f>
        <v>0</v>
      </c>
      <c r="L93" s="46">
        <f>IFERROR(__xludf.DUMMYFUNCTION("""COMPUTED_VALUE"""),0.0)</f>
        <v>0</v>
      </c>
      <c r="M93" s="46">
        <f>IFERROR(__xludf.DUMMYFUNCTION("""COMPUTED_VALUE"""),0.0)</f>
        <v>0</v>
      </c>
      <c r="N93" s="46">
        <f>IFERROR(__xludf.DUMMYFUNCTION("""COMPUTED_VALUE"""),0.0)</f>
        <v>0</v>
      </c>
      <c r="O93" s="46">
        <f>IFERROR(__xludf.DUMMYFUNCTION("""COMPUTED_VALUE"""),2.2026178E7)</f>
        <v>22026178</v>
      </c>
      <c r="P93" s="47">
        <f>IFERROR(__xludf.DUMMYFUNCTION("""COMPUTED_VALUE"""),0.02324178133147621)</f>
        <v>0.02324178133</v>
      </c>
      <c r="Q93" s="16"/>
    </row>
    <row r="94" ht="15.75" customHeight="1">
      <c r="A94" s="48" t="str">
        <f>IFERROR(__xludf.DUMMYFUNCTION("""COMPUTED_VALUE"""),"減価償却費")</f>
        <v>減価償却費</v>
      </c>
      <c r="B94" s="46">
        <f>IFERROR(__xludf.DUMMYFUNCTION("""COMPUTED_VALUE"""),0.0)</f>
        <v>0</v>
      </c>
      <c r="C94" s="46">
        <f>IFERROR(__xludf.DUMMYFUNCTION("""COMPUTED_VALUE"""),0.0)</f>
        <v>0</v>
      </c>
      <c r="D94" s="46">
        <f>IFERROR(__xludf.DUMMYFUNCTION("""COMPUTED_VALUE"""),0.0)</f>
        <v>0</v>
      </c>
      <c r="E94" s="46">
        <f>IFERROR(__xludf.DUMMYFUNCTION("""COMPUTED_VALUE"""),0.0)</f>
        <v>0</v>
      </c>
      <c r="F94" s="46">
        <f>IFERROR(__xludf.DUMMYFUNCTION("""COMPUTED_VALUE"""),0.0)</f>
        <v>0</v>
      </c>
      <c r="G94" s="46">
        <f>IFERROR(__xludf.DUMMYFUNCTION("""COMPUTED_VALUE"""),0.0)</f>
        <v>0</v>
      </c>
      <c r="H94" s="24"/>
      <c r="I94" s="46">
        <f>IFERROR(__xludf.DUMMYFUNCTION("""COMPUTED_VALUE"""),0.0)</f>
        <v>0</v>
      </c>
      <c r="J94" s="46">
        <f>IFERROR(__xludf.DUMMYFUNCTION("""COMPUTED_VALUE"""),0.0)</f>
        <v>0</v>
      </c>
      <c r="K94" s="46">
        <f>IFERROR(__xludf.DUMMYFUNCTION("""COMPUTED_VALUE"""),0.0)</f>
        <v>0</v>
      </c>
      <c r="L94" s="46">
        <f>IFERROR(__xludf.DUMMYFUNCTION("""COMPUTED_VALUE"""),0.0)</f>
        <v>0</v>
      </c>
      <c r="M94" s="46">
        <f>IFERROR(__xludf.DUMMYFUNCTION("""COMPUTED_VALUE"""),0.0)</f>
        <v>0</v>
      </c>
      <c r="N94" s="46">
        <f>IFERROR(__xludf.DUMMYFUNCTION("""COMPUTED_VALUE"""),0.0)</f>
        <v>0</v>
      </c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0"/>
      <c r="I95" s="55"/>
      <c r="J95" s="55"/>
      <c r="K95" s="55"/>
      <c r="L95" s="55"/>
      <c r="M95" s="55"/>
      <c r="N95" s="48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IFERROR(__xludf.DUMMYFUNCTION("""COMPUTED_VALUE"""),0.2520328583339244)</f>
        <v>0.2520328583</v>
      </c>
      <c r="C96" s="56">
        <f>IFERROR(__xludf.DUMMYFUNCTION("""COMPUTED_VALUE"""),0.20559766337986668)</f>
        <v>0.2055976634</v>
      </c>
      <c r="D96" s="56">
        <f>IFERROR(__xludf.DUMMYFUNCTION("""COMPUTED_VALUE"""),0.11478639375949955)</f>
        <v>0.1147863938</v>
      </c>
      <c r="E96" s="56">
        <f>IFERROR(__xludf.DUMMYFUNCTION("""COMPUTED_VALUE"""),0.15714447915176685)</f>
        <v>0.1571444792</v>
      </c>
      <c r="F96" s="56">
        <f>IFERROR(__xludf.DUMMYFUNCTION("""COMPUTED_VALUE"""),0.15621559217574443)</f>
        <v>0.1562155922</v>
      </c>
      <c r="G96" s="56">
        <f>IFERROR(__xludf.DUMMYFUNCTION("""COMPUTED_VALUE"""),0.166260757726446)</f>
        <v>0.1662607577</v>
      </c>
      <c r="H96" s="16"/>
      <c r="I96" s="56">
        <f>IFERROR(__xludf.DUMMYFUNCTION("""COMPUTED_VALUE"""),0.17171883700492993)</f>
        <v>0.171718837</v>
      </c>
      <c r="J96" s="56">
        <f>IFERROR(__xludf.DUMMYFUNCTION("""COMPUTED_VALUE"""),0.13380617931473404)</f>
        <v>0.1338061793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IFERROR(__xludf.DUMMYFUNCTION("""COMPUTED_VALUE"""),0.16766720330355464)</f>
        <v>0.1676672033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IFERROR(__xludf.DUMMYFUNCTION("""COMPUTED_VALUE"""),0.30329334758415627)</f>
        <v>0.3032933476</v>
      </c>
      <c r="C97" s="56">
        <f>IFERROR(__xludf.DUMMYFUNCTION("""COMPUTED_VALUE"""),0.29004468370187936)</f>
        <v>0.2900446837</v>
      </c>
      <c r="D97" s="56">
        <f>IFERROR(__xludf.DUMMYFUNCTION("""COMPUTED_VALUE"""),0.34320495051310956)</f>
        <v>0.3432049505</v>
      </c>
      <c r="E97" s="56">
        <f>IFERROR(__xludf.DUMMYFUNCTION("""COMPUTED_VALUE"""),0.32044501321614294)</f>
        <v>0.3204450132</v>
      </c>
      <c r="F97" s="56">
        <f>IFERROR(__xludf.DUMMYFUNCTION("""COMPUTED_VALUE"""),0.3613484936009339)</f>
        <v>0.3613484936</v>
      </c>
      <c r="G97" s="56">
        <f>IFERROR(__xludf.DUMMYFUNCTION("""COMPUTED_VALUE"""),0.3786750459123996)</f>
        <v>0.3786750459</v>
      </c>
      <c r="H97" s="16"/>
      <c r="I97" s="56">
        <f>IFERROR(__xludf.DUMMYFUNCTION("""COMPUTED_VALUE"""),0.38943194622607125)</f>
        <v>0.3894319462</v>
      </c>
      <c r="J97" s="56">
        <f>IFERROR(__xludf.DUMMYFUNCTION("""COMPUTED_VALUE"""),0.40659472379494654)</f>
        <v>0.4065947238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>
        <f>IFERROR(__xludf.DUMMYFUNCTION("""COMPUTED_VALUE"""),1.0500954043655635)</f>
        <v>1.050095404</v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IFERROR(__xludf.DUMMYFUNCTION("""COMPUTED_VALUE"""),5769333.181818182)</f>
        <v>5769333.182</v>
      </c>
      <c r="C98" s="46">
        <f>IFERROR(__xludf.DUMMYFUNCTION("""COMPUTED_VALUE"""),8359734.999999999)</f>
        <v>8359735</v>
      </c>
      <c r="D98" s="46">
        <f>IFERROR(__xludf.DUMMYFUNCTION("""COMPUTED_VALUE"""),1.5256011E7)</f>
        <v>15256011</v>
      </c>
      <c r="E98" s="46">
        <f>IFERROR(__xludf.DUMMYFUNCTION("""COMPUTED_VALUE"""),7376463.272727273)</f>
        <v>7376463.273</v>
      </c>
      <c r="F98" s="46">
        <f>IFERROR(__xludf.DUMMYFUNCTION("""COMPUTED_VALUE"""),6702231.272727272)</f>
        <v>6702231.273</v>
      </c>
      <c r="G98" s="46">
        <f>IFERROR(__xludf.DUMMYFUNCTION("""COMPUTED_VALUE"""),5810095.727272728)</f>
        <v>5810095.727</v>
      </c>
      <c r="H98" s="24"/>
      <c r="I98" s="46">
        <f>IFERROR(__xludf.DUMMYFUNCTION("""COMPUTED_VALUE"""),5952975.727272728)</f>
        <v>5952975.727</v>
      </c>
      <c r="J98" s="46">
        <f>IFERROR(__xludf.DUMMYFUNCTION("""COMPUTED_VALUE"""),5694758.090909093)</f>
        <v>5694758.091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IFERROR(__xludf.DUMMYFUNCTION("""COMPUTED_VALUE"""),6.092160327272729E7)</f>
        <v>60921603.27</v>
      </c>
      <c r="P98" s="47"/>
      <c r="Q98" s="16"/>
    </row>
    <row r="99" ht="15.75" customHeight="1">
      <c r="A99" s="48"/>
      <c r="B99" s="46">
        <f>IFERROR(__xludf.DUMMYFUNCTION("""COMPUTED_VALUE"""),0.0)</f>
        <v>0</v>
      </c>
      <c r="C99" s="46">
        <f>IFERROR(__xludf.DUMMYFUNCTION("""COMPUTED_VALUE"""),0.0)</f>
        <v>0</v>
      </c>
      <c r="D99" s="46">
        <f>IFERROR(__xludf.DUMMYFUNCTION("""COMPUTED_VALUE"""),0.0)</f>
        <v>0</v>
      </c>
      <c r="E99" s="46">
        <f>IFERROR(__xludf.DUMMYFUNCTION("""COMPUTED_VALUE"""),0.0)</f>
        <v>0</v>
      </c>
      <c r="F99" s="46">
        <f>IFERROR(__xludf.DUMMYFUNCTION("""COMPUTED_VALUE"""),0.0)</f>
        <v>0</v>
      </c>
      <c r="G99" s="46">
        <f>IFERROR(__xludf.DUMMYFUNCTION("""COMPUTED_VALUE"""),0.0)</f>
        <v>0</v>
      </c>
      <c r="H99" s="24"/>
      <c r="I99" s="46">
        <f>IFERROR(__xludf.DUMMYFUNCTION("""COMPUTED_VALUE"""),0.0)</f>
        <v>0</v>
      </c>
      <c r="J99" s="46">
        <f>IFERROR(__xludf.DUMMYFUNCTION("""COMPUTED_VALUE"""),0.0)</f>
        <v>0</v>
      </c>
      <c r="K99" s="46">
        <f>IFERROR(__xludf.DUMMYFUNCTION("""COMPUTED_VALUE"""),0.0)</f>
        <v>0</v>
      </c>
      <c r="L99" s="46">
        <f>IFERROR(__xludf.DUMMYFUNCTION("""COMPUTED_VALUE"""),0.0)</f>
        <v>0</v>
      </c>
      <c r="M99" s="46">
        <f>IFERROR(__xludf.DUMMYFUNCTION("""COMPUTED_VALUE"""),0.0)</f>
        <v>0</v>
      </c>
      <c r="N99" s="46">
        <f>IFERROR(__xludf.DUMMYFUNCTION("""COMPUTED_VALUE"""),0.0)</f>
        <v>0</v>
      </c>
      <c r="O99" s="46">
        <f>IFERROR(__xludf.DUMMYFUNCTION("""COMPUTED_VALUE"""),0.0)</f>
        <v>0</v>
      </c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IFERROR(__xludf.DUMMYFUNCTION("""COMPUTED_VALUE"""),9076495.818181828)</f>
        <v>9076495.818</v>
      </c>
      <c r="C100" s="44">
        <f>IFERROR(__xludf.DUMMYFUNCTION("""COMPUTED_VALUE"""),3.0903506E7)</f>
        <v>30903506</v>
      </c>
      <c r="D100" s="44">
        <f>IFERROR(__xludf.DUMMYFUNCTION("""COMPUTED_VALUE"""),7.593652399999999E7)</f>
        <v>75936524</v>
      </c>
      <c r="E100" s="44">
        <f>IFERROR(__xludf.DUMMYFUNCTION("""COMPUTED_VALUE"""),2.431214372727273E7)</f>
        <v>24312143.73</v>
      </c>
      <c r="F100" s="44">
        <f>IFERROR(__xludf.DUMMYFUNCTION("""COMPUTED_VALUE"""),7560057.727272719)</f>
        <v>7560057.727</v>
      </c>
      <c r="G100" s="44">
        <f>IFERROR(__xludf.DUMMYFUNCTION("""COMPUTED_VALUE"""),9363008.272727273)</f>
        <v>9363008.273</v>
      </c>
      <c r="H100" s="24"/>
      <c r="I100" s="44">
        <f>IFERROR(__xludf.DUMMYFUNCTION("""COMPUTED_VALUE"""),7994395.27272727)</f>
        <v>7994395.273</v>
      </c>
      <c r="J100" s="44">
        <f>IFERROR(__xludf.DUMMYFUNCTION("""COMPUTED_VALUE"""),7551459.909090914)</f>
        <v>7551459.909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IFERROR(__xludf.DUMMYFUNCTION("""COMPUTED_VALUE"""),1.726975907272727E8)</f>
        <v>172697590.7</v>
      </c>
      <c r="P100" s="45">
        <f>IFERROR(__xludf.DUMMYFUNCTION("""COMPUTED_VALUE"""),0.11156672044744673)</f>
        <v>0.1115667204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IFERROR(__xludf.DUMMYFUNCTION("""COMPUTED_VALUE"""),36400.0)</f>
        <v>36400</v>
      </c>
      <c r="F101" s="46">
        <f>IFERROR(__xludf.DUMMYFUNCTION("""COMPUTED_VALUE"""),15666.0)</f>
        <v>15666</v>
      </c>
      <c r="G101" s="46">
        <f>IFERROR(__xludf.DUMMYFUNCTION("""COMPUTED_VALUE"""),111.0)</f>
        <v>111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IFERROR(__xludf.DUMMYFUNCTION("""COMPUTED_VALUE"""),52177.0)</f>
        <v>52177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52">
        <f>IFERROR(__xludf.DUMMYFUNCTION("""COMPUTED_VALUE"""),0.0)</f>
        <v>0</v>
      </c>
      <c r="C102" s="52">
        <f>IFERROR(__xludf.DUMMYFUNCTION("""COMPUTED_VALUE"""),0.0)</f>
        <v>0</v>
      </c>
      <c r="D102" s="52">
        <f>IFERROR(__xludf.DUMMYFUNCTION("""COMPUTED_VALUE"""),0.0)</f>
        <v>0</v>
      </c>
      <c r="E102" s="52">
        <f>IFERROR(__xludf.DUMMYFUNCTION("""COMPUTED_VALUE"""),0.0)</f>
        <v>0</v>
      </c>
      <c r="F102" s="52">
        <f>IFERROR(__xludf.DUMMYFUNCTION("""COMPUTED_VALUE"""),2266.0)</f>
        <v>2266</v>
      </c>
      <c r="G102" s="52">
        <f>IFERROR(__xludf.DUMMYFUNCTION("""COMPUTED_VALUE"""),111.0)</f>
        <v>111</v>
      </c>
      <c r="H102" s="24"/>
      <c r="I102" s="52">
        <f>IFERROR(__xludf.DUMMYFUNCTION("""COMPUTED_VALUE"""),0.0)</f>
        <v>0</v>
      </c>
      <c r="J102" s="52">
        <f>IFERROR(__xludf.DUMMYFUNCTION("""COMPUTED_VALUE"""),0.0)</f>
        <v>0</v>
      </c>
      <c r="K102" s="52">
        <f>IFERROR(__xludf.DUMMYFUNCTION("""COMPUTED_VALUE"""),0.0)</f>
        <v>0</v>
      </c>
      <c r="L102" s="52">
        <f>IFERROR(__xludf.DUMMYFUNCTION("""COMPUTED_VALUE"""),0.0)</f>
        <v>0</v>
      </c>
      <c r="M102" s="52">
        <f>IFERROR(__xludf.DUMMYFUNCTION("""COMPUTED_VALUE"""),0.0)</f>
        <v>0</v>
      </c>
      <c r="N102" s="52">
        <f>IFERROR(__xludf.DUMMYFUNCTION("""COMPUTED_VALUE"""),0.0)</f>
        <v>0</v>
      </c>
      <c r="O102" s="52">
        <f>IFERROR(__xludf.DUMMYFUNCTION("""COMPUTED_VALUE"""),2377.0)</f>
        <v>2377</v>
      </c>
      <c r="P102" s="53">
        <f>IFERROR(__xludf.DUMMYFUNCTION("""COMPUTED_VALUE"""),0.045556471242118174)</f>
        <v>0.04555647124</v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52">
        <f>IFERROR(__xludf.DUMMYFUNCTION("""COMPUTED_VALUE"""),0.0)</f>
        <v>0</v>
      </c>
      <c r="C103" s="52">
        <f>IFERROR(__xludf.DUMMYFUNCTION("""COMPUTED_VALUE"""),0.0)</f>
        <v>0</v>
      </c>
      <c r="D103" s="52">
        <f>IFERROR(__xludf.DUMMYFUNCTION("""COMPUTED_VALUE"""),0.0)</f>
        <v>0</v>
      </c>
      <c r="E103" s="52">
        <f>IFERROR(__xludf.DUMMYFUNCTION("""COMPUTED_VALUE"""),0.0)</f>
        <v>0</v>
      </c>
      <c r="F103" s="52">
        <f>IFERROR(__xludf.DUMMYFUNCTION("""COMPUTED_VALUE"""),0.0)</f>
        <v>0</v>
      </c>
      <c r="G103" s="52">
        <f>IFERROR(__xludf.DUMMYFUNCTION("""COMPUTED_VALUE"""),0.0)</f>
        <v>0</v>
      </c>
      <c r="H103" s="24"/>
      <c r="I103" s="52">
        <f>IFERROR(__xludf.DUMMYFUNCTION("""COMPUTED_VALUE"""),0.0)</f>
        <v>0</v>
      </c>
      <c r="J103" s="52">
        <f>IFERROR(__xludf.DUMMYFUNCTION("""COMPUTED_VALUE"""),0.0)</f>
        <v>0</v>
      </c>
      <c r="K103" s="52">
        <f>IFERROR(__xludf.DUMMYFUNCTION("""COMPUTED_VALUE"""),0.0)</f>
        <v>0</v>
      </c>
      <c r="L103" s="52">
        <f>IFERROR(__xludf.DUMMYFUNCTION("""COMPUTED_VALUE"""),0.0)</f>
        <v>0</v>
      </c>
      <c r="M103" s="52">
        <f>IFERROR(__xludf.DUMMYFUNCTION("""COMPUTED_VALUE"""),0.0)</f>
        <v>0</v>
      </c>
      <c r="N103" s="52">
        <f>IFERROR(__xludf.DUMMYFUNCTION("""COMPUTED_VALUE"""),0.0)</f>
        <v>0</v>
      </c>
      <c r="O103" s="52">
        <f>IFERROR(__xludf.DUMMYFUNCTION("""COMPUTED_VALUE"""),0.0)</f>
        <v>0</v>
      </c>
      <c r="P103" s="53">
        <f>IFERROR(__xludf.DUMMYFUNCTION("""COMPUTED_VALUE"""),0.0)</f>
        <v>0</v>
      </c>
      <c r="Q103" s="16"/>
    </row>
    <row r="104" ht="15.75" customHeight="1">
      <c r="A104" s="51" t="str">
        <f>IFERROR(__xludf.DUMMYFUNCTION("""COMPUTED_VALUE"""),"雑収入")</f>
        <v>雑収入</v>
      </c>
      <c r="B104" s="52">
        <f>IFERROR(__xludf.DUMMYFUNCTION("""COMPUTED_VALUE"""),0.0)</f>
        <v>0</v>
      </c>
      <c r="C104" s="52">
        <f>IFERROR(__xludf.DUMMYFUNCTION("""COMPUTED_VALUE"""),0.0)</f>
        <v>0</v>
      </c>
      <c r="D104" s="52">
        <f>IFERROR(__xludf.DUMMYFUNCTION("""COMPUTED_VALUE"""),0.0)</f>
        <v>0</v>
      </c>
      <c r="E104" s="52">
        <f>IFERROR(__xludf.DUMMYFUNCTION("""COMPUTED_VALUE"""),36400.0)</f>
        <v>36400</v>
      </c>
      <c r="F104" s="52">
        <f>IFERROR(__xludf.DUMMYFUNCTION("""COMPUTED_VALUE"""),13400.0)</f>
        <v>13400</v>
      </c>
      <c r="G104" s="52">
        <f>IFERROR(__xludf.DUMMYFUNCTION("""COMPUTED_VALUE"""),0.0)</f>
        <v>0</v>
      </c>
      <c r="H104" s="24"/>
      <c r="I104" s="52">
        <f>IFERROR(__xludf.DUMMYFUNCTION("""COMPUTED_VALUE"""),0.0)</f>
        <v>0</v>
      </c>
      <c r="J104" s="52">
        <f>IFERROR(__xludf.DUMMYFUNCTION("""COMPUTED_VALUE"""),0.0)</f>
        <v>0</v>
      </c>
      <c r="K104" s="52">
        <f>IFERROR(__xludf.DUMMYFUNCTION("""COMPUTED_VALUE"""),0.0)</f>
        <v>0</v>
      </c>
      <c r="L104" s="52">
        <f>IFERROR(__xludf.DUMMYFUNCTION("""COMPUTED_VALUE"""),0.0)</f>
        <v>0</v>
      </c>
      <c r="M104" s="52">
        <f>IFERROR(__xludf.DUMMYFUNCTION("""COMPUTED_VALUE"""),0.0)</f>
        <v>0</v>
      </c>
      <c r="N104" s="52">
        <f>IFERROR(__xludf.DUMMYFUNCTION("""COMPUTED_VALUE"""),0.0)</f>
        <v>0</v>
      </c>
      <c r="O104" s="52">
        <f>IFERROR(__xludf.DUMMYFUNCTION("""COMPUTED_VALUE"""),49800.0)</f>
        <v>49800</v>
      </c>
      <c r="P104" s="53">
        <f>IFERROR(__xludf.DUMMYFUNCTION("""COMPUTED_VALUE"""),0.9544435287578819)</f>
        <v>0.9544435288</v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IFERROR(__xludf.DUMMYFUNCTION("""COMPUTED_VALUE"""),22294.0)</f>
        <v>22294</v>
      </c>
      <c r="C105" s="46">
        <f>IFERROR(__xludf.DUMMYFUNCTION("""COMPUTED_VALUE"""),21035.0)</f>
        <v>21035</v>
      </c>
      <c r="D105" s="46">
        <f>IFERROR(__xludf.DUMMYFUNCTION("""COMPUTED_VALUE"""),21179.0)</f>
        <v>21179</v>
      </c>
      <c r="E105" s="46">
        <f>IFERROR(__xludf.DUMMYFUNCTION("""COMPUTED_VALUE"""),19957.0)</f>
        <v>19957</v>
      </c>
      <c r="F105" s="46">
        <f>IFERROR(__xludf.DUMMYFUNCTION("""COMPUTED_VALUE"""),20065.0)</f>
        <v>20065</v>
      </c>
      <c r="G105" s="46">
        <f>IFERROR(__xludf.DUMMYFUNCTION("""COMPUTED_VALUE"""),20607.0)</f>
        <v>20607</v>
      </c>
      <c r="H105" s="24"/>
      <c r="I105" s="46">
        <f>IFERROR(__xludf.DUMMYFUNCTION("""COMPUTED_VALUE"""),18339.0)</f>
        <v>18339</v>
      </c>
      <c r="J105" s="46">
        <f>IFERROR(__xludf.DUMMYFUNCTION("""COMPUTED_VALUE"""),18392.0)</f>
        <v>18392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IFERROR(__xludf.DUMMYFUNCTION("""COMPUTED_VALUE"""),161868.0)</f>
        <v>161868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52">
        <f>IFERROR(__xludf.DUMMYFUNCTION("""COMPUTED_VALUE"""),22294.0)</f>
        <v>22294</v>
      </c>
      <c r="C106" s="52">
        <f>IFERROR(__xludf.DUMMYFUNCTION("""COMPUTED_VALUE"""),21035.0)</f>
        <v>21035</v>
      </c>
      <c r="D106" s="52">
        <f>IFERROR(__xludf.DUMMYFUNCTION("""COMPUTED_VALUE"""),21179.0)</f>
        <v>21179</v>
      </c>
      <c r="E106" s="52">
        <f>IFERROR(__xludf.DUMMYFUNCTION("""COMPUTED_VALUE"""),19957.0)</f>
        <v>19957</v>
      </c>
      <c r="F106" s="52">
        <f>IFERROR(__xludf.DUMMYFUNCTION("""COMPUTED_VALUE"""),20065.0)</f>
        <v>20065</v>
      </c>
      <c r="G106" s="52">
        <f>IFERROR(__xludf.DUMMYFUNCTION("""COMPUTED_VALUE"""),19507.0)</f>
        <v>19507</v>
      </c>
      <c r="H106" s="24"/>
      <c r="I106" s="52">
        <f>IFERROR(__xludf.DUMMYFUNCTION("""COMPUTED_VALUE"""),18339.0)</f>
        <v>18339</v>
      </c>
      <c r="J106" s="52">
        <f>IFERROR(__xludf.DUMMYFUNCTION("""COMPUTED_VALUE"""),18392.0)</f>
        <v>18392</v>
      </c>
      <c r="K106" s="52">
        <f>IFERROR(__xludf.DUMMYFUNCTION("""COMPUTED_VALUE"""),0.0)</f>
        <v>0</v>
      </c>
      <c r="L106" s="52">
        <f>IFERROR(__xludf.DUMMYFUNCTION("""COMPUTED_VALUE"""),0.0)</f>
        <v>0</v>
      </c>
      <c r="M106" s="52">
        <f>IFERROR(__xludf.DUMMYFUNCTION("""COMPUTED_VALUE"""),0.0)</f>
        <v>0</v>
      </c>
      <c r="N106" s="52">
        <f>IFERROR(__xludf.DUMMYFUNCTION("""COMPUTED_VALUE"""),0.0)</f>
        <v>0</v>
      </c>
      <c r="O106" s="52">
        <f>IFERROR(__xludf.DUMMYFUNCTION("""COMPUTED_VALUE"""),160768.0)</f>
        <v>160768</v>
      </c>
      <c r="P106" s="53">
        <f>IFERROR(__xludf.DUMMYFUNCTION("""COMPUTED_VALUE"""),0.9932043393382262)</f>
        <v>0.9932043393</v>
      </c>
      <c r="Q106" s="16"/>
    </row>
    <row r="107" ht="15.75" customHeight="1">
      <c r="A107" s="51" t="str">
        <f>IFERROR(__xludf.DUMMYFUNCTION("""COMPUTED_VALUE"""),"雑損失")</f>
        <v>雑損失</v>
      </c>
      <c r="B107" s="52">
        <f>IFERROR(__xludf.DUMMYFUNCTION("""COMPUTED_VALUE"""),0.0)</f>
        <v>0</v>
      </c>
      <c r="C107" s="52">
        <f>IFERROR(__xludf.DUMMYFUNCTION("""COMPUTED_VALUE"""),0.0)</f>
        <v>0</v>
      </c>
      <c r="D107" s="52">
        <f>IFERROR(__xludf.DUMMYFUNCTION("""COMPUTED_VALUE"""),0.0)</f>
        <v>0</v>
      </c>
      <c r="E107" s="52">
        <f>IFERROR(__xludf.DUMMYFUNCTION("""COMPUTED_VALUE"""),0.0)</f>
        <v>0</v>
      </c>
      <c r="F107" s="52">
        <f>IFERROR(__xludf.DUMMYFUNCTION("""COMPUTED_VALUE"""),0.0)</f>
        <v>0</v>
      </c>
      <c r="G107" s="52">
        <f>IFERROR(__xludf.DUMMYFUNCTION("""COMPUTED_VALUE"""),1100.0)</f>
        <v>1100</v>
      </c>
      <c r="H107" s="24"/>
      <c r="I107" s="52">
        <f>IFERROR(__xludf.DUMMYFUNCTION("""COMPUTED_VALUE"""),0.0)</f>
        <v>0</v>
      </c>
      <c r="J107" s="52">
        <f>IFERROR(__xludf.DUMMYFUNCTION("""COMPUTED_VALUE"""),0.0)</f>
        <v>0</v>
      </c>
      <c r="K107" s="52">
        <f>IFERROR(__xludf.DUMMYFUNCTION("""COMPUTED_VALUE"""),0.0)</f>
        <v>0</v>
      </c>
      <c r="L107" s="52">
        <f>IFERROR(__xludf.DUMMYFUNCTION("""COMPUTED_VALUE"""),0.0)</f>
        <v>0</v>
      </c>
      <c r="M107" s="52">
        <f>IFERROR(__xludf.DUMMYFUNCTION("""COMPUTED_VALUE"""),0.0)</f>
        <v>0</v>
      </c>
      <c r="N107" s="52">
        <f>IFERROR(__xludf.DUMMYFUNCTION("""COMPUTED_VALUE"""),0.0)</f>
        <v>0</v>
      </c>
      <c r="O107" s="52">
        <f>IFERROR(__xludf.DUMMYFUNCTION("""COMPUTED_VALUE"""),1100.0)</f>
        <v>1100</v>
      </c>
      <c r="P107" s="53">
        <f>IFERROR(__xludf.DUMMYFUNCTION("""COMPUTED_VALUE"""),0.006795660661773791)</f>
        <v>0.006795660662</v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IFERROR(__xludf.DUMMYFUNCTION("""COMPUTED_VALUE"""),9054201.818181828)</f>
        <v>9054201.818</v>
      </c>
      <c r="C108" s="44">
        <f>IFERROR(__xludf.DUMMYFUNCTION("""COMPUTED_VALUE"""),3.0882471E7)</f>
        <v>30882471</v>
      </c>
      <c r="D108" s="44">
        <f>IFERROR(__xludf.DUMMYFUNCTION("""COMPUTED_VALUE"""),7.591534499999999E7)</f>
        <v>75915345</v>
      </c>
      <c r="E108" s="44">
        <f>IFERROR(__xludf.DUMMYFUNCTION("""COMPUTED_VALUE"""),2.432858672727273E7)</f>
        <v>24328586.73</v>
      </c>
      <c r="F108" s="44">
        <f>IFERROR(__xludf.DUMMYFUNCTION("""COMPUTED_VALUE"""),7555658.727272719)</f>
        <v>7555658.727</v>
      </c>
      <c r="G108" s="44">
        <f>IFERROR(__xludf.DUMMYFUNCTION("""COMPUTED_VALUE"""),9342512.272727273)</f>
        <v>9342512.273</v>
      </c>
      <c r="H108" s="24"/>
      <c r="I108" s="44">
        <f>IFERROR(__xludf.DUMMYFUNCTION("""COMPUTED_VALUE"""),7976056.27272727)</f>
        <v>7976056.273</v>
      </c>
      <c r="J108" s="44">
        <f>IFERROR(__xludf.DUMMYFUNCTION("""COMPUTED_VALUE"""),7533067.909090914)</f>
        <v>7533067.909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IFERROR(__xludf.DUMMYFUNCTION("""COMPUTED_VALUE"""),1.725878997272727E8)</f>
        <v>172587899.7</v>
      </c>
      <c r="P108" s="45">
        <f>IFERROR(__xludf.DUMMYFUNCTION("""COMPUTED_VALUE"""),0.11149585747199314)</f>
        <v>0.1114958575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IFERROR(__xludf.DUMMYFUNCTION("""COMPUTED_VALUE"""),3621680.7272727266)</f>
        <v>3621680.727</v>
      </c>
      <c r="C109" s="46">
        <f>IFERROR(__xludf.DUMMYFUNCTION("""COMPUTED_VALUE"""),1.2352988400000004E7)</f>
        <v>12352988.4</v>
      </c>
      <c r="D109" s="46">
        <f>IFERROR(__xludf.DUMMYFUNCTION("""COMPUTED_VALUE"""),3.0366138000000004E7)</f>
        <v>30366138</v>
      </c>
      <c r="E109" s="46">
        <f>IFERROR(__xludf.DUMMYFUNCTION("""COMPUTED_VALUE"""),9731434.690909093)</f>
        <v>9731434.691</v>
      </c>
      <c r="F109" s="46">
        <f>IFERROR(__xludf.DUMMYFUNCTION("""COMPUTED_VALUE"""),3022263.490909092)</f>
        <v>3022263.491</v>
      </c>
      <c r="G109" s="46">
        <f>IFERROR(__xludf.DUMMYFUNCTION("""COMPUTED_VALUE"""),3737004.9090909082)</f>
        <v>3737004.909</v>
      </c>
      <c r="H109" s="24"/>
      <c r="I109" s="46">
        <f>IFERROR(__xludf.DUMMYFUNCTION("""COMPUTED_VALUE"""),3190422.5090909097)</f>
        <v>3190422.509</v>
      </c>
      <c r="J109" s="46">
        <f>IFERROR(__xludf.DUMMYFUNCTION("""COMPUTED_VALUE"""),3013227.163636366)</f>
        <v>3013227.164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IFERROR(__xludf.DUMMYFUNCTION("""COMPUTED_VALUE"""),6.90351598909091E7)</f>
        <v>69035159.89</v>
      </c>
      <c r="P109" s="47">
        <f>IFERROR(__xludf.DUMMYFUNCTION("""COMPUTED_VALUE"""),0.04459834298879728)</f>
        <v>0.04459834299</v>
      </c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IFERROR(__xludf.DUMMYFUNCTION("""COMPUTED_VALUE"""),5432521.090909094)</f>
        <v>5432521.091</v>
      </c>
      <c r="C110" s="44">
        <f>IFERROR(__xludf.DUMMYFUNCTION("""COMPUTED_VALUE"""),1.8529482599999994E7)</f>
        <v>18529482.6</v>
      </c>
      <c r="D110" s="44">
        <f>IFERROR(__xludf.DUMMYFUNCTION("""COMPUTED_VALUE"""),4.554920699999999E7)</f>
        <v>45549207</v>
      </c>
      <c r="E110" s="44">
        <f>IFERROR(__xludf.DUMMYFUNCTION("""COMPUTED_VALUE"""),1.459715203636364E7)</f>
        <v>14597152.04</v>
      </c>
      <c r="F110" s="44">
        <f>IFERROR(__xludf.DUMMYFUNCTION("""COMPUTED_VALUE"""),4533395.2363636345)</f>
        <v>4533395.236</v>
      </c>
      <c r="G110" s="44">
        <f>IFERROR(__xludf.DUMMYFUNCTION("""COMPUTED_VALUE"""),5605507.363636367)</f>
        <v>5605507.364</v>
      </c>
      <c r="H110" s="24"/>
      <c r="I110" s="44">
        <f>IFERROR(__xludf.DUMMYFUNCTION("""COMPUTED_VALUE"""),4785633.763636362)</f>
        <v>4785633.764</v>
      </c>
      <c r="J110" s="44">
        <f>IFERROR(__xludf.DUMMYFUNCTION("""COMPUTED_VALUE"""),4519840.7454545405)</f>
        <v>4519840.745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IFERROR(__xludf.DUMMYFUNCTION("""COMPUTED_VALUE"""),1.0355273983636367E8)</f>
        <v>103552739.8</v>
      </c>
      <c r="P110" s="45">
        <f>IFERROR(__xludf.DUMMYFUNCTION("""COMPUTED_VALUE"""),0.06689751448319592)</f>
        <v>0.06689751448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IFERROR(__xludf.DUMMYFUNCTION("""COMPUTED_VALUE"""),146395.09384164237)</f>
        <v>146395.0938</v>
      </c>
      <c r="C112" s="44">
        <f>IFERROR(__xludf.DUMMYFUNCTION("""COMPUTED_VALUE"""),482867.28125)</f>
        <v>482867.2813</v>
      </c>
      <c r="D112" s="44">
        <f>IFERROR(__xludf.DUMMYFUNCTION("""COMPUTED_VALUE"""),1186508.1874999998)</f>
        <v>1186508.188</v>
      </c>
      <c r="E112" s="44">
        <f>IFERROR(__xludf.DUMMYFUNCTION("""COMPUTED_VALUE"""),379877.2457386364)</f>
        <v>379877.2457</v>
      </c>
      <c r="F112" s="44">
        <f>IFERROR(__xludf.DUMMYFUNCTION("""COMPUTED_VALUE"""),121936.4149560116)</f>
        <v>121936.415</v>
      </c>
      <c r="G112" s="44">
        <f>IFERROR(__xludf.DUMMYFUNCTION("""COMPUTED_VALUE"""),148619.17893217894)</f>
        <v>148619.1789</v>
      </c>
      <c r="H112" s="24"/>
      <c r="I112" s="44">
        <f>IFERROR(__xludf.DUMMYFUNCTION("""COMPUTED_VALUE"""),126895.16305916301)</f>
        <v>126895.1631</v>
      </c>
      <c r="J112" s="44">
        <f>IFERROR(__xludf.DUMMYFUNCTION("""COMPUTED_VALUE"""),121797.7404692083)</f>
        <v>121797.7405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IFERROR(__xludf.DUMMYFUNCTION("""COMPUTED_VALUE"""),279898.8504493885)</f>
        <v>279898.8504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58">
        <f>IFERROR(__xludf.DUMMYFUNCTION("""COMPUTED_VALUE"""),62.0)</f>
        <v>62</v>
      </c>
      <c r="C113" s="58">
        <f>IFERROR(__xludf.DUMMYFUNCTION("""COMPUTED_VALUE"""),64.0)</f>
        <v>64</v>
      </c>
      <c r="D113" s="58">
        <f>IFERROR(__xludf.DUMMYFUNCTION("""COMPUTED_VALUE"""),64.0)</f>
        <v>64</v>
      </c>
      <c r="E113" s="46">
        <f>IFERROR(__xludf.DUMMYFUNCTION("""COMPUTED_VALUE"""),64.0)</f>
        <v>64</v>
      </c>
      <c r="F113" s="58">
        <f>IFERROR(__xludf.DUMMYFUNCTION("""COMPUTED_VALUE"""),62.0)</f>
        <v>62</v>
      </c>
      <c r="G113" s="58">
        <f>IFERROR(__xludf.DUMMYFUNCTION("""COMPUTED_VALUE"""),63.0)</f>
        <v>63</v>
      </c>
      <c r="H113" s="3"/>
      <c r="I113" s="58">
        <f>IFERROR(__xludf.DUMMYFUNCTION("""COMPUTED_VALUE"""),63.0)</f>
        <v>63</v>
      </c>
      <c r="J113" s="58">
        <f>IFERROR(__xludf.DUMMYFUNCTION("""COMPUTED_VALUE"""),62.0)</f>
        <v>62</v>
      </c>
      <c r="K113" s="58">
        <f>IFERROR(__xludf.DUMMYFUNCTION("""COMPUTED_VALUE"""),0.0)</f>
        <v>0</v>
      </c>
      <c r="L113" s="58">
        <f>IFERROR(__xludf.DUMMYFUNCTION("""COMPUTED_VALUE"""),0.0)</f>
        <v>0</v>
      </c>
      <c r="M113" s="58">
        <f>IFERROR(__xludf.DUMMYFUNCTION("""COMPUTED_VALUE"""),0.0)</f>
        <v>0</v>
      </c>
      <c r="N113" s="58">
        <f>IFERROR(__xludf.DUMMYFUNCTION("""COMPUTED_VALUE"""),0.0)</f>
        <v>0</v>
      </c>
      <c r="O113" s="50">
        <f>IFERROR(__xludf.DUMMYFUNCTION("""COMPUTED_VALUE"""),617.0)</f>
        <v>617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58">
        <f>IFERROR(__xludf.DUMMYFUNCTION("""COMPUTED_VALUE"""),22.0)</f>
        <v>22</v>
      </c>
      <c r="C114" s="58">
        <f>IFERROR(__xludf.DUMMYFUNCTION("""COMPUTED_VALUE"""),22.0)</f>
        <v>22</v>
      </c>
      <c r="D114" s="58">
        <f>IFERROR(__xludf.DUMMYFUNCTION("""COMPUTED_VALUE"""),21.0)</f>
        <v>21</v>
      </c>
      <c r="E114" s="46">
        <f>IFERROR(__xludf.DUMMYFUNCTION("""COMPUTED_VALUE"""),23.0)</f>
        <v>23</v>
      </c>
      <c r="F114" s="58">
        <f>IFERROR(__xludf.DUMMYFUNCTION("""COMPUTED_VALUE"""),23.0)</f>
        <v>23</v>
      </c>
      <c r="G114" s="58">
        <f>IFERROR(__xludf.DUMMYFUNCTION("""COMPUTED_VALUE"""),24.0)</f>
        <v>24</v>
      </c>
      <c r="H114" s="3"/>
      <c r="I114" s="58">
        <f>IFERROR(__xludf.DUMMYFUNCTION("""COMPUTED_VALUE"""),24.0)</f>
        <v>24</v>
      </c>
      <c r="J114" s="58">
        <f>IFERROR(__xludf.DUMMYFUNCTION("""COMPUTED_VALUE"""),26.0)</f>
        <v>26</v>
      </c>
      <c r="K114" s="58">
        <f>IFERROR(__xludf.DUMMYFUNCTION("""COMPUTED_VALUE"""),0.0)</f>
        <v>0</v>
      </c>
      <c r="L114" s="58">
        <f>IFERROR(__xludf.DUMMYFUNCTION("""COMPUTED_VALUE"""),0.0)</f>
        <v>0</v>
      </c>
      <c r="M114" s="58">
        <f>IFERROR(__xludf.DUMMYFUNCTION("""COMPUTED_VALUE"""),0.0)</f>
        <v>0</v>
      </c>
      <c r="N114" s="58">
        <f>IFERROR(__xludf.DUMMYFUNCTION("""COMPUTED_VALUE"""),0.0)</f>
        <v>0</v>
      </c>
      <c r="O114" s="50">
        <f>IFERROR(__xludf.DUMMYFUNCTION("""COMPUTED_VALUE"""),205.0)</f>
        <v>205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3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/>
      <c r="C116" s="44"/>
      <c r="D116" s="44"/>
      <c r="E116" s="44"/>
      <c r="F116" s="44"/>
      <c r="G116" s="44"/>
      <c r="H116" s="24"/>
      <c r="I116" s="44"/>
      <c r="J116" s="44"/>
      <c r="K116" s="44"/>
      <c r="L116" s="44"/>
      <c r="M116" s="44"/>
      <c r="N116" s="44"/>
      <c r="O116" s="44"/>
      <c r="P116" s="45"/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/>
      <c r="C117" s="46"/>
      <c r="D117" s="46"/>
      <c r="E117" s="46"/>
      <c r="F117" s="46"/>
      <c r="G117" s="46"/>
      <c r="H117" s="24"/>
      <c r="I117" s="46"/>
      <c r="J117" s="46"/>
      <c r="K117" s="46"/>
      <c r="L117" s="46"/>
      <c r="M117" s="46"/>
      <c r="N117" s="24"/>
      <c r="O117" s="24"/>
      <c r="P117" s="59"/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46"/>
      <c r="C118" s="46"/>
      <c r="D118" s="46"/>
      <c r="E118" s="46"/>
      <c r="F118" s="46"/>
      <c r="G118" s="46"/>
      <c r="H118" s="24"/>
      <c r="I118" s="46"/>
      <c r="J118" s="46"/>
      <c r="K118" s="46"/>
      <c r="L118" s="46"/>
      <c r="M118" s="46"/>
      <c r="N118" s="24"/>
      <c r="O118" s="24"/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/>
      <c r="C119" s="49"/>
      <c r="D119" s="49"/>
      <c r="E119" s="49"/>
      <c r="F119" s="49"/>
      <c r="G119" s="49"/>
      <c r="H119" s="16"/>
      <c r="I119" s="49"/>
      <c r="J119" s="49"/>
      <c r="K119" s="49"/>
      <c r="L119" s="49"/>
      <c r="M119" s="49"/>
      <c r="N119" s="16"/>
      <c r="O119" s="16"/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/>
      <c r="C120" s="46"/>
      <c r="D120" s="46"/>
      <c r="E120" s="46"/>
      <c r="F120" s="46"/>
      <c r="G120" s="46"/>
      <c r="H120" s="24"/>
      <c r="I120" s="46"/>
      <c r="J120" s="46"/>
      <c r="K120" s="46"/>
      <c r="L120" s="46"/>
      <c r="M120" s="46"/>
      <c r="N120" s="24"/>
      <c r="O120" s="24"/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IFERROR(__xludf.DUMMYFUNCTION("""COMPUTED_VALUE"""),8.6008133E7)</f>
        <v>86008133</v>
      </c>
      <c r="C122" s="46">
        <f>IFERROR(__xludf.DUMMYFUNCTION("""COMPUTED_VALUE"""),6.8988252E7)</f>
        <v>68988252</v>
      </c>
      <c r="D122" s="46">
        <f>IFERROR(__xludf.DUMMYFUNCTION("""COMPUTED_VALUE"""),5.4477685E7)</f>
        <v>54477685</v>
      </c>
      <c r="E122" s="46">
        <f>IFERROR(__xludf.DUMMYFUNCTION("""COMPUTED_VALUE"""),6.305245E7)</f>
        <v>63052450</v>
      </c>
      <c r="F122" s="46">
        <f>IFERROR(__xludf.DUMMYFUNCTION("""COMPUTED_VALUE"""),6.3308916E7)</f>
        <v>63308916</v>
      </c>
      <c r="G122" s="46">
        <f>IFERROR(__xludf.DUMMYFUNCTION("""COMPUTED_VALUE"""),5.7183665E7)</f>
        <v>57183665</v>
      </c>
      <c r="H122" s="24"/>
      <c r="I122" s="46">
        <f>IFERROR(__xludf.DUMMYFUNCTION("""COMPUTED_VALUE"""),5.6122226E7)</f>
        <v>56122226</v>
      </c>
      <c r="J122" s="46">
        <f>IFERROR(__xludf.DUMMYFUNCTION("""COMPUTED_VALUE"""),5.1793346E7)</f>
        <v>51793346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IFERROR(__xludf.DUMMYFUNCTION("IMPORTRANGE(""https://docs.google.com/spreadsheets/d/1SlHuJEDBJ4Gy3WXeRPN-U9OYonTEM2Yhh4rIuiFr5bQ/edit#gid=256474166"",""PE!A:S"")"),"2022年度")</f>
        <v>2022年度</v>
      </c>
      <c r="B1" s="38">
        <f>IFERROR(__xludf.DUMMYFUNCTION("""COMPUTED_VALUE"""),3.0)</f>
        <v>3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IFERROR(__xludf.DUMMYFUNCTION("""COMPUTED_VALUE"""),"PE")</f>
        <v>PE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IFERROR(__xludf.DUMMYFUNCTION("""COMPUTED_VALUE"""),4.7355061E7)</f>
        <v>47355061</v>
      </c>
      <c r="C3" s="44">
        <f>IFERROR(__xludf.DUMMYFUNCTION("""COMPUTED_VALUE"""),5.0364299E7)</f>
        <v>50364299</v>
      </c>
      <c r="D3" s="44">
        <f>IFERROR(__xludf.DUMMYFUNCTION("""COMPUTED_VALUE"""),5.4761227E7)</f>
        <v>54761227</v>
      </c>
      <c r="E3" s="44">
        <f>IFERROR(__xludf.DUMMYFUNCTION("""COMPUTED_VALUE"""),5.4822179E7)</f>
        <v>54822179</v>
      </c>
      <c r="F3" s="44">
        <f>IFERROR(__xludf.DUMMYFUNCTION("""COMPUTED_VALUE"""),5.6830786E7)</f>
        <v>56830786</v>
      </c>
      <c r="G3" s="44">
        <f>IFERROR(__xludf.DUMMYFUNCTION("""COMPUTED_VALUE"""),5.5151392E7)</f>
        <v>55151392</v>
      </c>
      <c r="H3" s="24"/>
      <c r="I3" s="44">
        <f>IFERROR(__xludf.DUMMYFUNCTION("""COMPUTED_VALUE"""),5.9749717E7)</f>
        <v>59749717</v>
      </c>
      <c r="J3" s="44">
        <f>IFERROR(__xludf.DUMMYFUNCTION("""COMPUTED_VALUE"""),5.8284353E7)</f>
        <v>58284353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IFERROR(__xludf.DUMMYFUNCTION("""COMPUTED_VALUE"""),4.37319014E8)</f>
        <v>437319014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9">
        <f>IFERROR(__xludf.DUMMYFUNCTION("""COMPUTED_VALUE"""),2.7774411E7)</f>
        <v>27774411</v>
      </c>
      <c r="C4" s="62">
        <f>IFERROR(__xludf.DUMMYFUNCTION("""COMPUTED_VALUE"""),3.1015699E7)</f>
        <v>31015699</v>
      </c>
      <c r="D4" s="62">
        <f>IFERROR(__xludf.DUMMYFUNCTION("""COMPUTED_VALUE"""),3.3846689E7)</f>
        <v>33846689</v>
      </c>
      <c r="E4" s="62">
        <f>IFERROR(__xludf.DUMMYFUNCTION("""COMPUTED_VALUE"""),3.4057091E7)</f>
        <v>34057091</v>
      </c>
      <c r="F4" s="62">
        <f>IFERROR(__xludf.DUMMYFUNCTION("""COMPUTED_VALUE"""),3.5468754E7)</f>
        <v>35468754</v>
      </c>
      <c r="G4" s="62">
        <f>IFERROR(__xludf.DUMMYFUNCTION("""COMPUTED_VALUE"""),3.3933217E7)</f>
        <v>33933217</v>
      </c>
      <c r="H4" s="24"/>
      <c r="I4" s="62">
        <f>IFERROR(__xludf.DUMMYFUNCTION("""COMPUTED_VALUE"""),3.7540117E7)</f>
        <v>37540117</v>
      </c>
      <c r="J4" s="62">
        <f>IFERROR(__xludf.DUMMYFUNCTION("""COMPUTED_VALUE"""),3.7177428E7)</f>
        <v>37177428</v>
      </c>
      <c r="K4" s="62"/>
      <c r="L4" s="62"/>
      <c r="M4" s="62"/>
      <c r="N4" s="62"/>
      <c r="O4" s="46">
        <f>IFERROR(__xludf.DUMMYFUNCTION("""COMPUTED_VALUE"""),2.70813406E8)</f>
        <v>270813406</v>
      </c>
      <c r="P4" s="47">
        <f>IFERROR(__xludf.DUMMYFUNCTION("""COMPUTED_VALUE"""),0.6192582470242193)</f>
        <v>0.619258247</v>
      </c>
      <c r="Q4" s="16"/>
    </row>
    <row r="5" ht="15.0" customHeight="1">
      <c r="A5" s="3" t="str">
        <f>IFERROR(__xludf.DUMMYFUNCTION("""COMPUTED_VALUE"""),"Global-PE")</f>
        <v>Global-PE</v>
      </c>
      <c r="B5" s="9">
        <f>IFERROR(__xludf.DUMMYFUNCTION("""COMPUTED_VALUE"""),1.958065E7)</f>
        <v>19580650</v>
      </c>
      <c r="C5" s="62">
        <f>IFERROR(__xludf.DUMMYFUNCTION("""COMPUTED_VALUE"""),1.93486E7)</f>
        <v>19348600</v>
      </c>
      <c r="D5" s="62">
        <f>IFERROR(__xludf.DUMMYFUNCTION("""COMPUTED_VALUE"""),2.0914538E7)</f>
        <v>20914538</v>
      </c>
      <c r="E5" s="62">
        <f>IFERROR(__xludf.DUMMYFUNCTION("""COMPUTED_VALUE"""),2.0765088E7)</f>
        <v>20765088</v>
      </c>
      <c r="F5" s="62">
        <f>IFERROR(__xludf.DUMMYFUNCTION("""COMPUTED_VALUE"""),2.1362032E7)</f>
        <v>21362032</v>
      </c>
      <c r="G5" s="62">
        <f>IFERROR(__xludf.DUMMYFUNCTION("""COMPUTED_VALUE"""),2.1218175E7)</f>
        <v>21218175</v>
      </c>
      <c r="H5" s="24"/>
      <c r="I5" s="62">
        <f>IFERROR(__xludf.DUMMYFUNCTION("""COMPUTED_VALUE"""),2.22096E7)</f>
        <v>22209600</v>
      </c>
      <c r="J5" s="62">
        <f>IFERROR(__xludf.DUMMYFUNCTION("""COMPUTED_VALUE"""),2.1106925E7)</f>
        <v>21106925</v>
      </c>
      <c r="K5" s="62"/>
      <c r="L5" s="62"/>
      <c r="M5" s="62"/>
      <c r="N5" s="62"/>
      <c r="O5" s="46">
        <f>IFERROR(__xludf.DUMMYFUNCTION("""COMPUTED_VALUE"""),1.66505608E8)</f>
        <v>166505608</v>
      </c>
      <c r="P5" s="47">
        <f>IFERROR(__xludf.DUMMYFUNCTION("""COMPUTED_VALUE"""),0.3807417529757807)</f>
        <v>0.380741753</v>
      </c>
      <c r="Q5" s="16"/>
    </row>
    <row r="6" ht="15.0" customHeight="1">
      <c r="A6" s="3" t="str">
        <f>IFERROR(__xludf.DUMMYFUNCTION("""COMPUTED_VALUE"""),"その他-PE")</f>
        <v>その他-PE</v>
      </c>
      <c r="B6" s="9"/>
      <c r="C6" s="62"/>
      <c r="D6" s="62">
        <f>IFERROR(__xludf.DUMMYFUNCTION("""COMPUTED_VALUE"""),0.0)</f>
        <v>0</v>
      </c>
      <c r="E6" s="62"/>
      <c r="F6" s="62">
        <f>IFERROR(__xludf.DUMMYFUNCTION("""COMPUTED_VALUE"""),0.0)</f>
        <v>0</v>
      </c>
      <c r="G6" s="62">
        <f>IFERROR(__xludf.DUMMYFUNCTION("""COMPUTED_VALUE"""),0.0)</f>
        <v>0</v>
      </c>
      <c r="H6" s="24"/>
      <c r="I6" s="62">
        <f>IFERROR(__xludf.DUMMYFUNCTION("""COMPUTED_VALUE"""),0.0)</f>
        <v>0</v>
      </c>
      <c r="J6" s="62">
        <f>IFERROR(__xludf.DUMMYFUNCTION("""COMPUTED_VALUE"""),0.0)</f>
        <v>0</v>
      </c>
      <c r="K6" s="62"/>
      <c r="L6" s="62"/>
      <c r="M6" s="62"/>
      <c r="N6" s="62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IFERROR(__xludf.DUMMYFUNCTION("""COMPUTED_VALUE"""),2.1279069E7)</f>
        <v>21279069</v>
      </c>
      <c r="C16" s="44">
        <f>IFERROR(__xludf.DUMMYFUNCTION("""COMPUTED_VALUE"""),2.261669E7)</f>
        <v>22616690</v>
      </c>
      <c r="D16" s="44">
        <f>IFERROR(__xludf.DUMMYFUNCTION("""COMPUTED_VALUE"""),2.3834303E7)</f>
        <v>23834303</v>
      </c>
      <c r="E16" s="44">
        <f>IFERROR(__xludf.DUMMYFUNCTION("""COMPUTED_VALUE"""),2.4728988E7)</f>
        <v>24728988</v>
      </c>
      <c r="F16" s="44">
        <f>IFERROR(__xludf.DUMMYFUNCTION("""COMPUTED_VALUE"""),2.5850301E7)</f>
        <v>25850301</v>
      </c>
      <c r="G16" s="44">
        <f>IFERROR(__xludf.DUMMYFUNCTION("""COMPUTED_VALUE"""),2.4300612E7)</f>
        <v>24300612</v>
      </c>
      <c r="H16" s="24"/>
      <c r="I16" s="44">
        <f>IFERROR(__xludf.DUMMYFUNCTION("""COMPUTED_VALUE"""),2.7355898E7)</f>
        <v>27355898</v>
      </c>
      <c r="J16" s="44">
        <f>IFERROR(__xludf.DUMMYFUNCTION("""COMPUTED_VALUE"""),2.6368681E7)</f>
        <v>26368681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IFERROR(__xludf.DUMMYFUNCTION("""COMPUTED_VALUE"""),1.96334542E8)</f>
        <v>196334542</v>
      </c>
      <c r="P16" s="45">
        <f>IFERROR(__xludf.DUMMYFUNCTION("""COMPUTED_VALUE"""),0.44895039025218325)</f>
        <v>0.4489503903</v>
      </c>
      <c r="Q16" s="16"/>
    </row>
    <row r="17" ht="16.5" customHeight="1">
      <c r="A17" s="3" t="str">
        <f>IFERROR(__xludf.DUMMYFUNCTION("""COMPUTED_VALUE"""),"Tutor-PE")</f>
        <v>Tutor-PE</v>
      </c>
      <c r="B17" s="13">
        <f>IFERROR(__xludf.DUMMYFUNCTION("""COMPUTED_VALUE"""),1.3338639E7)</f>
        <v>13338639</v>
      </c>
      <c r="C17" s="62">
        <f>IFERROR(__xludf.DUMMYFUNCTION("""COMPUTED_VALUE"""),1.5027052E7)</f>
        <v>15027052</v>
      </c>
      <c r="D17" s="62">
        <f>IFERROR(__xludf.DUMMYFUNCTION("""COMPUTED_VALUE"""),1.6433043E7)</f>
        <v>16433043</v>
      </c>
      <c r="E17" s="62">
        <f>IFERROR(__xludf.DUMMYFUNCTION("""COMPUTED_VALUE"""),1.6482537E7)</f>
        <v>16482537</v>
      </c>
      <c r="F17" s="62">
        <f>IFERROR(__xludf.DUMMYFUNCTION("""COMPUTED_VALUE"""),1.7364756E7)</f>
        <v>17364756</v>
      </c>
      <c r="G17" s="62">
        <f>IFERROR(__xludf.DUMMYFUNCTION("""COMPUTED_VALUE"""),1.6491133E7)</f>
        <v>16491133</v>
      </c>
      <c r="H17" s="24"/>
      <c r="I17" s="62">
        <f>IFERROR(__xludf.DUMMYFUNCTION("""COMPUTED_VALUE"""),1.8478921E7)</f>
        <v>18478921</v>
      </c>
      <c r="J17" s="62">
        <f>IFERROR(__xludf.DUMMYFUNCTION("""COMPUTED_VALUE"""),1.8274961E7)</f>
        <v>18274961</v>
      </c>
      <c r="K17" s="62"/>
      <c r="L17" s="62"/>
      <c r="M17" s="62"/>
      <c r="N17" s="62"/>
      <c r="O17" s="46">
        <f>IFERROR(__xludf.DUMMYFUNCTION("""COMPUTED_VALUE"""),1.31891042E8)</f>
        <v>131891042</v>
      </c>
      <c r="P17" s="47">
        <f>IFERROR(__xludf.DUMMYFUNCTION("""COMPUTED_VALUE"""),0.6717668763553588)</f>
        <v>0.6717668764</v>
      </c>
      <c r="Q17" s="16"/>
    </row>
    <row r="18" ht="16.5" customHeight="1">
      <c r="A18" s="3" t="str">
        <f>IFERROR(__xludf.DUMMYFUNCTION("""COMPUTED_VALUE"""),"Global-PE")</f>
        <v>Global-PE</v>
      </c>
      <c r="B18" s="13">
        <f>IFERROR(__xludf.DUMMYFUNCTION("""COMPUTED_VALUE"""),7940430.0)</f>
        <v>7940430</v>
      </c>
      <c r="C18" s="62">
        <f>IFERROR(__xludf.DUMMYFUNCTION("""COMPUTED_VALUE"""),7589638.0)</f>
        <v>7589638</v>
      </c>
      <c r="D18" s="62">
        <f>IFERROR(__xludf.DUMMYFUNCTION("""COMPUTED_VALUE"""),7401260.0)</f>
        <v>7401260</v>
      </c>
      <c r="E18" s="62">
        <f>IFERROR(__xludf.DUMMYFUNCTION("""COMPUTED_VALUE"""),8246451.0)</f>
        <v>8246451</v>
      </c>
      <c r="F18" s="62">
        <f>IFERROR(__xludf.DUMMYFUNCTION("""COMPUTED_VALUE"""),8485545.0)</f>
        <v>8485545</v>
      </c>
      <c r="G18" s="62">
        <f>IFERROR(__xludf.DUMMYFUNCTION("""COMPUTED_VALUE"""),7809479.0)</f>
        <v>7809479</v>
      </c>
      <c r="H18" s="24"/>
      <c r="I18" s="62">
        <f>IFERROR(__xludf.DUMMYFUNCTION("""COMPUTED_VALUE"""),8876977.0)</f>
        <v>8876977</v>
      </c>
      <c r="J18" s="62">
        <f>IFERROR(__xludf.DUMMYFUNCTION("""COMPUTED_VALUE"""),8093720.0)</f>
        <v>8093720</v>
      </c>
      <c r="K18" s="62"/>
      <c r="L18" s="62"/>
      <c r="M18" s="62"/>
      <c r="N18" s="62"/>
      <c r="O18" s="46">
        <f>IFERROR(__xludf.DUMMYFUNCTION("""COMPUTED_VALUE"""),6.44435E7)</f>
        <v>64443500</v>
      </c>
      <c r="P18" s="47">
        <f>IFERROR(__xludf.DUMMYFUNCTION("""COMPUTED_VALUE"""),0.3282331236446412)</f>
        <v>0.3282331236</v>
      </c>
      <c r="Q18" s="16"/>
    </row>
    <row r="19" ht="16.5" customHeight="1">
      <c r="A19" s="3" t="str">
        <f>IFERROR(__xludf.DUMMYFUNCTION("""COMPUTED_VALUE"""),"その他-PE")</f>
        <v>その他-PE</v>
      </c>
      <c r="B19" s="62"/>
      <c r="C19" s="62"/>
      <c r="D19" s="62"/>
      <c r="E19" s="62"/>
      <c r="F19" s="62"/>
      <c r="G19" s="62"/>
      <c r="H19" s="24"/>
      <c r="I19" s="62"/>
      <c r="J19" s="62"/>
      <c r="K19" s="62"/>
      <c r="L19" s="62"/>
      <c r="M19" s="62"/>
      <c r="N19" s="62"/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>
        <f>IFERROR(__xludf.DUMMYFUNCTION("""COMPUTED_VALUE"""),0.0)</f>
        <v>0</v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>
        <f>IFERROR(__xludf.DUMMYFUNCTION("""COMPUTED_VALUE"""),0.0)</f>
        <v>0</v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>
        <f>IFERROR(__xludf.DUMMYFUNCTION("""COMPUTED_VALUE"""),0.0)</f>
        <v>0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>
        <f>IFERROR(__xludf.DUMMYFUNCTION("""COMPUTED_VALUE"""),0.0)</f>
        <v>0</v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IFERROR(__xludf.DUMMYFUNCTION("""COMPUTED_VALUE"""),2.6075992E7)</f>
        <v>26075992</v>
      </c>
      <c r="C29" s="44">
        <f>IFERROR(__xludf.DUMMYFUNCTION("""COMPUTED_VALUE"""),2.7747609E7)</f>
        <v>27747609</v>
      </c>
      <c r="D29" s="44">
        <f>IFERROR(__xludf.DUMMYFUNCTION("""COMPUTED_VALUE"""),3.0926924E7)</f>
        <v>30926924</v>
      </c>
      <c r="E29" s="44">
        <f>IFERROR(__xludf.DUMMYFUNCTION("""COMPUTED_VALUE"""),3.0093191E7)</f>
        <v>30093191</v>
      </c>
      <c r="F29" s="44">
        <f>IFERROR(__xludf.DUMMYFUNCTION("""COMPUTED_VALUE"""),3.0980485E7)</f>
        <v>30980485</v>
      </c>
      <c r="G29" s="44">
        <f>IFERROR(__xludf.DUMMYFUNCTION("""COMPUTED_VALUE"""),3.085078E7)</f>
        <v>30850780</v>
      </c>
      <c r="H29" s="24"/>
      <c r="I29" s="44">
        <f>IFERROR(__xludf.DUMMYFUNCTION("""COMPUTED_VALUE"""),3.2393819E7)</f>
        <v>32393819</v>
      </c>
      <c r="J29" s="44">
        <f>IFERROR(__xludf.DUMMYFUNCTION("""COMPUTED_VALUE"""),3.1915672E7)</f>
        <v>31915672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IFERROR(__xludf.DUMMYFUNCTION("""COMPUTED_VALUE"""),2.40984472E8)</f>
        <v>240984472</v>
      </c>
      <c r="P29" s="45">
        <f>IFERROR(__xludf.DUMMYFUNCTION("""COMPUTED_VALUE"""),0.5510496097478167)</f>
        <v>0.5510496097</v>
      </c>
      <c r="Q29" s="16"/>
    </row>
    <row r="30" ht="15.75" customHeight="1">
      <c r="A30" s="3" t="str">
        <f>IFERROR(__xludf.DUMMYFUNCTION("""COMPUTED_VALUE"""),"Tutor-PE")</f>
        <v>Tutor-PE</v>
      </c>
      <c r="B30" s="64">
        <f>IFERROR(__xludf.DUMMYFUNCTION("""COMPUTED_VALUE"""),1.4435772E7)</f>
        <v>14435772</v>
      </c>
      <c r="C30" s="64">
        <f>IFERROR(__xludf.DUMMYFUNCTION("""COMPUTED_VALUE"""),1.5988647E7)</f>
        <v>15988647</v>
      </c>
      <c r="D30" s="64">
        <f>IFERROR(__xludf.DUMMYFUNCTION("""COMPUTED_VALUE"""),1.7413646E7)</f>
        <v>17413646</v>
      </c>
      <c r="E30" s="64">
        <f>IFERROR(__xludf.DUMMYFUNCTION("""COMPUTED_VALUE"""),1.7574554E7)</f>
        <v>17574554</v>
      </c>
      <c r="F30" s="64">
        <f>IFERROR(__xludf.DUMMYFUNCTION("""COMPUTED_VALUE"""),1.8103998E7)</f>
        <v>18103998</v>
      </c>
      <c r="G30" s="64">
        <f>IFERROR(__xludf.DUMMYFUNCTION("""COMPUTED_VALUE"""),1.7442084E7)</f>
        <v>17442084</v>
      </c>
      <c r="H30" s="64"/>
      <c r="I30" s="64">
        <f>IFERROR(__xludf.DUMMYFUNCTION("""COMPUTED_VALUE"""),1.9061196E7)</f>
        <v>19061196</v>
      </c>
      <c r="J30" s="64">
        <f>IFERROR(__xludf.DUMMYFUNCTION("""COMPUTED_VALUE"""),1.8902467E7)</f>
        <v>18902467</v>
      </c>
      <c r="K30" s="64" t="str">
        <f>IFERROR(__xludf.DUMMYFUNCTION("""COMPUTED_VALUE"""),"")</f>
        <v/>
      </c>
      <c r="L30" s="64" t="str">
        <f>IFERROR(__xludf.DUMMYFUNCTION("""COMPUTED_VALUE"""),"")</f>
        <v/>
      </c>
      <c r="M30" s="64" t="str">
        <f>IFERROR(__xludf.DUMMYFUNCTION("""COMPUTED_VALUE"""),"")</f>
        <v/>
      </c>
      <c r="N30" s="64" t="str">
        <f>IFERROR(__xludf.DUMMYFUNCTION("""COMPUTED_VALUE"""),"")</f>
        <v/>
      </c>
      <c r="O30" s="46">
        <f>IFERROR(__xludf.DUMMYFUNCTION("""COMPUTED_VALUE"""),1.38922364E8)</f>
        <v>138922364</v>
      </c>
      <c r="P30" s="47">
        <f>IFERROR(__xludf.DUMMYFUNCTION("""COMPUTED_VALUE"""),0.5764784877923587)</f>
        <v>0.5764784878</v>
      </c>
      <c r="Q30" s="16"/>
    </row>
    <row r="31" ht="15.75" customHeight="1">
      <c r="A31" s="3" t="str">
        <f>IFERROR(__xludf.DUMMYFUNCTION("""COMPUTED_VALUE"""),"Global-PE")</f>
        <v>Global-PE</v>
      </c>
      <c r="B31" s="64">
        <f>IFERROR(__xludf.DUMMYFUNCTION("""COMPUTED_VALUE"""),1.164022E7)</f>
        <v>11640220</v>
      </c>
      <c r="C31" s="64">
        <f>IFERROR(__xludf.DUMMYFUNCTION("""COMPUTED_VALUE"""),1.1758962E7)</f>
        <v>11758962</v>
      </c>
      <c r="D31" s="64">
        <f>IFERROR(__xludf.DUMMYFUNCTION("""COMPUTED_VALUE"""),1.3513278E7)</f>
        <v>13513278</v>
      </c>
      <c r="E31" s="64">
        <f>IFERROR(__xludf.DUMMYFUNCTION("""COMPUTED_VALUE"""),1.2518637E7)</f>
        <v>12518637</v>
      </c>
      <c r="F31" s="64">
        <f>IFERROR(__xludf.DUMMYFUNCTION("""COMPUTED_VALUE"""),1.2876487E7)</f>
        <v>12876487</v>
      </c>
      <c r="G31" s="64">
        <f>IFERROR(__xludf.DUMMYFUNCTION("""COMPUTED_VALUE"""),1.3408696E7)</f>
        <v>13408696</v>
      </c>
      <c r="H31" s="64"/>
      <c r="I31" s="64">
        <f>IFERROR(__xludf.DUMMYFUNCTION("""COMPUTED_VALUE"""),1.3332623E7)</f>
        <v>13332623</v>
      </c>
      <c r="J31" s="64">
        <f>IFERROR(__xludf.DUMMYFUNCTION("""COMPUTED_VALUE"""),1.3013205E7)</f>
        <v>13013205</v>
      </c>
      <c r="K31" s="64" t="str">
        <f>IFERROR(__xludf.DUMMYFUNCTION("""COMPUTED_VALUE"""),"")</f>
        <v/>
      </c>
      <c r="L31" s="64" t="str">
        <f>IFERROR(__xludf.DUMMYFUNCTION("""COMPUTED_VALUE"""),"")</f>
        <v/>
      </c>
      <c r="M31" s="64" t="str">
        <f>IFERROR(__xludf.DUMMYFUNCTION("""COMPUTED_VALUE"""),"")</f>
        <v/>
      </c>
      <c r="N31" s="64" t="str">
        <f>IFERROR(__xludf.DUMMYFUNCTION("""COMPUTED_VALUE"""),"")</f>
        <v/>
      </c>
      <c r="O31" s="46">
        <f>IFERROR(__xludf.DUMMYFUNCTION("""COMPUTED_VALUE"""),1.02062108E8)</f>
        <v>102062108</v>
      </c>
      <c r="P31" s="47">
        <f>IFERROR(__xludf.DUMMYFUNCTION("""COMPUTED_VALUE"""),0.42352151220764134)</f>
        <v>0.4235215122</v>
      </c>
      <c r="Q31" s="16"/>
    </row>
    <row r="32" ht="15.75" customHeight="1">
      <c r="A32" s="3" t="str">
        <f>IFERROR(__xludf.DUMMYFUNCTION("""COMPUTED_VALUE"""),"その他-PE")</f>
        <v>その他-PE</v>
      </c>
      <c r="B32" s="64" t="str">
        <f>IFERROR(__xludf.DUMMYFUNCTION("""COMPUTED_VALUE"""),"")</f>
        <v/>
      </c>
      <c r="C32" s="64" t="str">
        <f>IFERROR(__xludf.DUMMYFUNCTION("""COMPUTED_VALUE"""),"")</f>
        <v/>
      </c>
      <c r="D32" s="64">
        <f>IFERROR(__xludf.DUMMYFUNCTION("""COMPUTED_VALUE"""),0.0)</f>
        <v>0</v>
      </c>
      <c r="E32" s="64" t="str">
        <f>IFERROR(__xludf.DUMMYFUNCTION("""COMPUTED_VALUE"""),"")</f>
        <v/>
      </c>
      <c r="F32" s="64">
        <f>IFERROR(__xludf.DUMMYFUNCTION("""COMPUTED_VALUE"""),0.0)</f>
        <v>0</v>
      </c>
      <c r="G32" s="64">
        <f>IFERROR(__xludf.DUMMYFUNCTION("""COMPUTED_VALUE"""),0.0)</f>
        <v>0</v>
      </c>
      <c r="H32" s="64"/>
      <c r="I32" s="64">
        <f>IFERROR(__xludf.DUMMYFUNCTION("""COMPUTED_VALUE"""),0.0)</f>
        <v>0</v>
      </c>
      <c r="J32" s="64">
        <f>IFERROR(__xludf.DUMMYFUNCTION("""COMPUTED_VALUE"""),0.0)</f>
        <v>0</v>
      </c>
      <c r="K32" s="64" t="str">
        <f>IFERROR(__xludf.DUMMYFUNCTION("""COMPUTED_VALUE"""),"")</f>
        <v/>
      </c>
      <c r="L32" s="64" t="str">
        <f>IFERROR(__xludf.DUMMYFUNCTION("""COMPUTED_VALUE"""),"")</f>
        <v/>
      </c>
      <c r="M32" s="64" t="str">
        <f>IFERROR(__xludf.DUMMYFUNCTION("""COMPUTED_VALUE"""),"")</f>
        <v/>
      </c>
      <c r="N32" s="64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IFERROR(__xludf.DUMMYFUNCTION("""COMPUTED_VALUE"""),0.5506484723987579)</f>
        <v>0.5506484724</v>
      </c>
      <c r="C42" s="49">
        <f>IFERROR(__xludf.DUMMYFUNCTION("""COMPUTED_VALUE"""),0.5509380563402659)</f>
        <v>0.5509380563</v>
      </c>
      <c r="D42" s="49">
        <f>IFERROR(__xludf.DUMMYFUNCTION("""COMPUTED_VALUE"""),0.5647595149758058)</f>
        <v>0.564759515</v>
      </c>
      <c r="E42" s="49">
        <f>IFERROR(__xludf.DUMMYFUNCTION("""COMPUTED_VALUE"""),0.5489236573394867)</f>
        <v>0.5489236573</v>
      </c>
      <c r="F42" s="49">
        <f>IFERROR(__xludf.DUMMYFUNCTION("""COMPUTED_VALUE"""),0.5451356066058984)</f>
        <v>0.5451356066</v>
      </c>
      <c r="G42" s="49">
        <f>IFERROR(__xludf.DUMMYFUNCTION("""COMPUTED_VALUE"""),0.5593835238102421)</f>
        <v>0.5593835238</v>
      </c>
      <c r="H42" s="16"/>
      <c r="I42" s="49">
        <f>IFERROR(__xludf.DUMMYFUNCTION("""COMPUTED_VALUE"""),0.5421585344077864)</f>
        <v>0.5421585344</v>
      </c>
      <c r="J42" s="49">
        <f>IFERROR(__xludf.DUMMYFUNCTION("""COMPUTED_VALUE"""),0.5475855929978325)</f>
        <v>0.547585593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IFERROR(__xludf.DUMMYFUNCTION("""COMPUTED_VALUE"""),0.5510496097478167)</f>
        <v>0.5510496097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IFERROR(__xludf.DUMMYFUNCTION("""COMPUTED_VALUE"""),1.689168709090909E7)</f>
        <v>16891687.09</v>
      </c>
      <c r="C44" s="44">
        <f>IFERROR(__xludf.DUMMYFUNCTION("""COMPUTED_VALUE"""),1.6549835454545455E7)</f>
        <v>16549835.45</v>
      </c>
      <c r="D44" s="44">
        <f>IFERROR(__xludf.DUMMYFUNCTION("""COMPUTED_VALUE"""),2.312631681818182E7)</f>
        <v>23126316.82</v>
      </c>
      <c r="E44" s="44">
        <f>IFERROR(__xludf.DUMMYFUNCTION("""COMPUTED_VALUE"""),2.129458009090909E7)</f>
        <v>21294580.09</v>
      </c>
      <c r="F44" s="44">
        <f>IFERROR(__xludf.DUMMYFUNCTION("""COMPUTED_VALUE"""),1.7026471454545453E7)</f>
        <v>17026471.45</v>
      </c>
      <c r="G44" s="44">
        <f>IFERROR(__xludf.DUMMYFUNCTION("""COMPUTED_VALUE"""),1.8490773727272727E7)</f>
        <v>18490773.73</v>
      </c>
      <c r="H44" s="16"/>
      <c r="I44" s="44">
        <f>IFERROR(__xludf.DUMMYFUNCTION("""COMPUTED_VALUE"""),1.9253246272727273E7)</f>
        <v>19253246.27</v>
      </c>
      <c r="J44" s="44">
        <f>IFERROR(__xludf.DUMMYFUNCTION("""COMPUTED_VALUE"""),1.857400281818182E7)</f>
        <v>18574002.82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IFERROR(__xludf.DUMMYFUNCTION("""COMPUTED_VALUE"""),1.5120691372727272E8)</f>
        <v>151206913.7</v>
      </c>
      <c r="P44" s="45">
        <f>IFERROR(__xludf.DUMMYFUNCTION("""COMPUTED_VALUE"""),0.3457588371112369)</f>
        <v>0.3457588371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IFERROR(__xludf.DUMMYFUNCTION("""COMPUTED_VALUE"""),935794.0)</f>
        <v>935794</v>
      </c>
      <c r="C45" s="46">
        <f>IFERROR(__xludf.DUMMYFUNCTION("""COMPUTED_VALUE"""),377047.0)</f>
        <v>377047</v>
      </c>
      <c r="D45" s="46">
        <f>IFERROR(__xludf.DUMMYFUNCTION("""COMPUTED_VALUE"""),498630.0)</f>
        <v>498630</v>
      </c>
      <c r="E45" s="46">
        <f>IFERROR(__xludf.DUMMYFUNCTION("""COMPUTED_VALUE"""),326858.0)</f>
        <v>326858</v>
      </c>
      <c r="F45" s="46">
        <f>IFERROR(__xludf.DUMMYFUNCTION("""COMPUTED_VALUE"""),455133.0)</f>
        <v>455133</v>
      </c>
      <c r="G45" s="46">
        <f>IFERROR(__xludf.DUMMYFUNCTION("""COMPUTED_VALUE"""),347567.0)</f>
        <v>347567</v>
      </c>
      <c r="H45" s="24"/>
      <c r="I45" s="46">
        <f>IFERROR(__xludf.DUMMYFUNCTION("""COMPUTED_VALUE"""),436861.0)</f>
        <v>436861</v>
      </c>
      <c r="J45" s="46">
        <f>IFERROR(__xludf.DUMMYFUNCTION("""COMPUTED_VALUE"""),363305.0)</f>
        <v>363305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IFERROR(__xludf.DUMMYFUNCTION("""COMPUTED_VALUE"""),3741195.0)</f>
        <v>3741195</v>
      </c>
      <c r="P45" s="47">
        <f>IFERROR(__xludf.DUMMYFUNCTION("""COMPUTED_VALUE"""),0.024742221818956498)</f>
        <v>0.02474222182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IFERROR(__xludf.DUMMYFUNCTION("""COMPUTED_VALUE"""),166797.0)</f>
        <v>166797</v>
      </c>
      <c r="C46" s="68">
        <f>IFERROR(__xludf.DUMMYFUNCTION("""COMPUTED_VALUE"""),175764.0)</f>
        <v>175764</v>
      </c>
      <c r="D46" s="68">
        <f>IFERROR(__xludf.DUMMYFUNCTION("""COMPUTED_VALUE"""),189767.0)</f>
        <v>189767</v>
      </c>
      <c r="E46" s="68">
        <f>IFERROR(__xludf.DUMMYFUNCTION("""COMPUTED_VALUE"""),158715.0)</f>
        <v>158715</v>
      </c>
      <c r="F46" s="68">
        <f>IFERROR(__xludf.DUMMYFUNCTION("""COMPUTED_VALUE"""),144653.0)</f>
        <v>144653</v>
      </c>
      <c r="G46" s="68">
        <f>IFERROR(__xludf.DUMMYFUNCTION("""COMPUTED_VALUE"""),156645.0)</f>
        <v>156645</v>
      </c>
      <c r="H46" s="69"/>
      <c r="I46" s="68">
        <f>IFERROR(__xludf.DUMMYFUNCTION("""COMPUTED_VALUE"""),155622.0)</f>
        <v>155622</v>
      </c>
      <c r="J46" s="68">
        <f>IFERROR(__xludf.DUMMYFUNCTION("""COMPUTED_VALUE"""),153503.0)</f>
        <v>153503</v>
      </c>
      <c r="K46" s="68"/>
      <c r="L46" s="68"/>
      <c r="M46" s="68"/>
      <c r="N46" s="68"/>
      <c r="O46" s="52">
        <f>IFERROR(__xludf.DUMMYFUNCTION("""COMPUTED_VALUE"""),1301466.0)</f>
        <v>1301466</v>
      </c>
      <c r="P46" s="53">
        <f>IFERROR(__xludf.DUMMYFUNCTION("""COMPUTED_VALUE"""),0.34787440911259637)</f>
        <v>0.3478744091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IFERROR(__xludf.DUMMYFUNCTION("""COMPUTED_VALUE"""),54621.0)</f>
        <v>54621</v>
      </c>
      <c r="C47" s="68">
        <f>IFERROR(__xludf.DUMMYFUNCTION("""COMPUTED_VALUE"""),35426.0)</f>
        <v>35426</v>
      </c>
      <c r="D47" s="68">
        <f>IFERROR(__xludf.DUMMYFUNCTION("""COMPUTED_VALUE"""),44227.0)</f>
        <v>44227</v>
      </c>
      <c r="E47" s="68">
        <f>IFERROR(__xludf.DUMMYFUNCTION("""COMPUTED_VALUE"""),33203.0)</f>
        <v>33203</v>
      </c>
      <c r="F47" s="68">
        <f>IFERROR(__xludf.DUMMYFUNCTION("""COMPUTED_VALUE"""),31951.0)</f>
        <v>31951</v>
      </c>
      <c r="G47" s="68">
        <f>IFERROR(__xludf.DUMMYFUNCTION("""COMPUTED_VALUE"""),31642.0)</f>
        <v>31642</v>
      </c>
      <c r="H47" s="69"/>
      <c r="I47" s="68">
        <f>IFERROR(__xludf.DUMMYFUNCTION("""COMPUTED_VALUE"""),28827.0)</f>
        <v>28827</v>
      </c>
      <c r="J47" s="68">
        <f>IFERROR(__xludf.DUMMYFUNCTION("""COMPUTED_VALUE"""),32756.0)</f>
        <v>32756</v>
      </c>
      <c r="K47" s="68"/>
      <c r="L47" s="68"/>
      <c r="M47" s="68"/>
      <c r="N47" s="68"/>
      <c r="O47" s="52">
        <f>IFERROR(__xludf.DUMMYFUNCTION("""COMPUTED_VALUE"""),292653.0)</f>
        <v>292653</v>
      </c>
      <c r="P47" s="53">
        <f>IFERROR(__xludf.DUMMYFUNCTION("""COMPUTED_VALUE"""),0.07822447105804428)</f>
        <v>0.07822447106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IFERROR(__xludf.DUMMYFUNCTION("""COMPUTED_VALUE"""),549112.0)</f>
        <v>549112</v>
      </c>
      <c r="C48" s="68">
        <f>IFERROR(__xludf.DUMMYFUNCTION("""COMPUTED_VALUE"""),165857.0)</f>
        <v>165857</v>
      </c>
      <c r="D48" s="68">
        <f>IFERROR(__xludf.DUMMYFUNCTION("""COMPUTED_VALUE"""),264636.0)</f>
        <v>264636</v>
      </c>
      <c r="E48" s="68">
        <f>IFERROR(__xludf.DUMMYFUNCTION("""COMPUTED_VALUE"""),134940.0)</f>
        <v>134940</v>
      </c>
      <c r="F48" s="68">
        <f>IFERROR(__xludf.DUMMYFUNCTION("""COMPUTED_VALUE"""),278529.0)</f>
        <v>278529</v>
      </c>
      <c r="G48" s="68">
        <f>IFERROR(__xludf.DUMMYFUNCTION("""COMPUTED_VALUE"""),159280.0)</f>
        <v>159280</v>
      </c>
      <c r="H48" s="69"/>
      <c r="I48" s="68">
        <f>IFERROR(__xludf.DUMMYFUNCTION("""COMPUTED_VALUE"""),252412.0)</f>
        <v>252412</v>
      </c>
      <c r="J48" s="68">
        <f>IFERROR(__xludf.DUMMYFUNCTION("""COMPUTED_VALUE"""),177046.0)</f>
        <v>177046</v>
      </c>
      <c r="K48" s="68"/>
      <c r="L48" s="68"/>
      <c r="M48" s="68"/>
      <c r="N48" s="68"/>
      <c r="O48" s="52">
        <f>IFERROR(__xludf.DUMMYFUNCTION("""COMPUTED_VALUE"""),1981812.0)</f>
        <v>1981812</v>
      </c>
      <c r="P48" s="53">
        <f>IFERROR(__xludf.DUMMYFUNCTION("""COMPUTED_VALUE"""),0.5297269989936371)</f>
        <v>0.529726999</v>
      </c>
      <c r="Q48" s="16"/>
    </row>
    <row r="49" ht="15.75" customHeight="1">
      <c r="A49" s="51" t="str">
        <f>IFERROR(__xludf.DUMMYFUNCTION("""COMPUTED_VALUE"""),"その他")</f>
        <v>その他</v>
      </c>
      <c r="B49" s="67">
        <f>IFERROR(__xludf.DUMMYFUNCTION("""COMPUTED_VALUE"""),165264.0)</f>
        <v>165264</v>
      </c>
      <c r="C49" s="68"/>
      <c r="D49" s="68"/>
      <c r="E49" s="68">
        <f>IFERROR(__xludf.DUMMYFUNCTION("""COMPUTED_VALUE"""),0.0)</f>
        <v>0</v>
      </c>
      <c r="F49" s="68">
        <f>IFERROR(__xludf.DUMMYFUNCTION("""COMPUTED_VALUE"""),0.0)</f>
        <v>0</v>
      </c>
      <c r="G49" s="68">
        <f>IFERROR(__xludf.DUMMYFUNCTION("""COMPUTED_VALUE"""),0.0)</f>
        <v>0</v>
      </c>
      <c r="H49" s="69"/>
      <c r="I49" s="68">
        <f>IFERROR(__xludf.DUMMYFUNCTION("""COMPUTED_VALUE"""),0.0)</f>
        <v>0</v>
      </c>
      <c r="J49" s="68">
        <f>IFERROR(__xludf.DUMMYFUNCTION("""COMPUTED_VALUE"""),0.0)</f>
        <v>0</v>
      </c>
      <c r="K49" s="68"/>
      <c r="L49" s="68"/>
      <c r="M49" s="68"/>
      <c r="N49" s="68"/>
      <c r="O49" s="52">
        <f>IFERROR(__xludf.DUMMYFUNCTION("""COMPUTED_VALUE"""),165264.0)</f>
        <v>165264</v>
      </c>
      <c r="P49" s="53">
        <f>IFERROR(__xludf.DUMMYFUNCTION("""COMPUTED_VALUE"""),0.04417412083572227)</f>
        <v>0.04417412084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62"/>
      <c r="D50" s="62"/>
      <c r="E50" s="62">
        <f>IFERROR(__xludf.DUMMYFUNCTION("""COMPUTED_VALUE"""),0.0)</f>
        <v>0</v>
      </c>
      <c r="F50" s="62">
        <f>IFERROR(__xludf.DUMMYFUNCTION("""COMPUTED_VALUE"""),0.0)</f>
        <v>0</v>
      </c>
      <c r="G50" s="62">
        <f>IFERROR(__xludf.DUMMYFUNCTION("""COMPUTED_VALUE"""),0.0)</f>
        <v>0</v>
      </c>
      <c r="H50" s="24"/>
      <c r="I50" s="62">
        <f>IFERROR(__xludf.DUMMYFUNCTION("""COMPUTED_VALUE"""),0.0)</f>
        <v>0</v>
      </c>
      <c r="J50" s="62">
        <f>IFERROR(__xludf.DUMMYFUNCTION("""COMPUTED_VALUE"""),0.0)</f>
        <v>0</v>
      </c>
      <c r="K50" s="62"/>
      <c r="L50" s="62"/>
      <c r="M50" s="62"/>
      <c r="N50" s="62"/>
      <c r="O50" s="46">
        <f>IFERROR(__xludf.DUMMYFUNCTION("""COMPUTED_VALUE"""),0.0)</f>
        <v>0</v>
      </c>
      <c r="P50" s="47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IFERROR(__xludf.DUMMYFUNCTION("""COMPUTED_VALUE"""),24440.0)</f>
        <v>24440</v>
      </c>
      <c r="C51" s="62">
        <f>IFERROR(__xludf.DUMMYFUNCTION("""COMPUTED_VALUE"""),796.0)</f>
        <v>796</v>
      </c>
      <c r="D51" s="62">
        <f>IFERROR(__xludf.DUMMYFUNCTION("""COMPUTED_VALUE"""),126119.0)</f>
        <v>126119</v>
      </c>
      <c r="E51" s="62">
        <f>IFERROR(__xludf.DUMMYFUNCTION("""COMPUTED_VALUE"""),34486.0)</f>
        <v>34486</v>
      </c>
      <c r="F51" s="62">
        <f>IFERROR(__xludf.DUMMYFUNCTION("""COMPUTED_VALUE"""),2558.0)</f>
        <v>2558</v>
      </c>
      <c r="G51" s="62">
        <f>IFERROR(__xludf.DUMMYFUNCTION("""COMPUTED_VALUE"""),46964.0)</f>
        <v>46964</v>
      </c>
      <c r="H51" s="24"/>
      <c r="I51" s="62">
        <f>IFERROR(__xludf.DUMMYFUNCTION("""COMPUTED_VALUE"""),36405.0)</f>
        <v>36405</v>
      </c>
      <c r="J51" s="62">
        <f>IFERROR(__xludf.DUMMYFUNCTION("""COMPUTED_VALUE"""),31828.0)</f>
        <v>31828</v>
      </c>
      <c r="K51" s="62"/>
      <c r="L51" s="62"/>
      <c r="M51" s="62"/>
      <c r="N51" s="62"/>
      <c r="O51" s="46">
        <f>IFERROR(__xludf.DUMMYFUNCTION("""COMPUTED_VALUE"""),303596.0)</f>
        <v>303596</v>
      </c>
      <c r="P51" s="47">
        <f>IFERROR(__xludf.DUMMYFUNCTION("""COMPUTED_VALUE"""),0.002007818243996348)</f>
        <v>0.002007818244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IFERROR(__xludf.DUMMYFUNCTION("""COMPUTED_VALUE"""),3686043.0)</f>
        <v>3686043</v>
      </c>
      <c r="C52" s="46">
        <f>IFERROR(__xludf.DUMMYFUNCTION("""COMPUTED_VALUE"""),2804072.0)</f>
        <v>2804072</v>
      </c>
      <c r="D52" s="46">
        <f>IFERROR(__xludf.DUMMYFUNCTION("""COMPUTED_VALUE"""),3400149.0)</f>
        <v>3400149</v>
      </c>
      <c r="E52" s="46">
        <f>IFERROR(__xludf.DUMMYFUNCTION("""COMPUTED_VALUE"""),3782594.0)</f>
        <v>3782594</v>
      </c>
      <c r="F52" s="46">
        <f>IFERROR(__xludf.DUMMYFUNCTION("""COMPUTED_VALUE"""),2674397.0)</f>
        <v>2674397</v>
      </c>
      <c r="G52" s="46">
        <f>IFERROR(__xludf.DUMMYFUNCTION("""COMPUTED_VALUE"""),4382583.0)</f>
        <v>4382583</v>
      </c>
      <c r="H52" s="24"/>
      <c r="I52" s="46">
        <f>IFERROR(__xludf.DUMMYFUNCTION("""COMPUTED_VALUE"""),4546670.0)</f>
        <v>4546670</v>
      </c>
      <c r="J52" s="46">
        <f>IFERROR(__xludf.DUMMYFUNCTION("""COMPUTED_VALUE"""),4388088.0)</f>
        <v>4388088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IFERROR(__xludf.DUMMYFUNCTION("""COMPUTED_VALUE"""),2.9664596E7)</f>
        <v>29664596</v>
      </c>
      <c r="P52" s="47">
        <f>IFERROR(__xludf.DUMMYFUNCTION("""COMPUTED_VALUE"""),0.19618544727065274)</f>
        <v>0.1961854473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67">
        <f>IFERROR(__xludf.DUMMYFUNCTION("""COMPUTED_VALUE"""),2711208.0)</f>
        <v>2711208</v>
      </c>
      <c r="C53" s="68">
        <f>IFERROR(__xludf.DUMMYFUNCTION("""COMPUTED_VALUE"""),2472047.0)</f>
        <v>2472047</v>
      </c>
      <c r="D53" s="68">
        <f>IFERROR(__xludf.DUMMYFUNCTION("""COMPUTED_VALUE"""),3335432.0)</f>
        <v>3335432</v>
      </c>
      <c r="E53" s="68">
        <f>IFERROR(__xludf.DUMMYFUNCTION("""COMPUTED_VALUE"""),3326849.0)</f>
        <v>3326849</v>
      </c>
      <c r="F53" s="68">
        <f>IFERROR(__xludf.DUMMYFUNCTION("""COMPUTED_VALUE"""),2633275.0)</f>
        <v>2633275</v>
      </c>
      <c r="G53" s="68">
        <f>IFERROR(__xludf.DUMMYFUNCTION("""COMPUTED_VALUE"""),3209818.0)</f>
        <v>3209818</v>
      </c>
      <c r="H53" s="69"/>
      <c r="I53" s="68">
        <f>IFERROR(__xludf.DUMMYFUNCTION("""COMPUTED_VALUE"""),2924984.0)</f>
        <v>2924984</v>
      </c>
      <c r="J53" s="68">
        <f>IFERROR(__xludf.DUMMYFUNCTION("""COMPUTED_VALUE"""),2904903.0)</f>
        <v>2904903</v>
      </c>
      <c r="K53" s="68"/>
      <c r="L53" s="68"/>
      <c r="M53" s="68"/>
      <c r="N53" s="68"/>
      <c r="O53" s="52">
        <f>IFERROR(__xludf.DUMMYFUNCTION("""COMPUTED_VALUE"""),2.3518516E7)</f>
        <v>23518516</v>
      </c>
      <c r="P53" s="53">
        <f>IFERROR(__xludf.DUMMYFUNCTION("""COMPUTED_VALUE"""),0.7928143029488754)</f>
        <v>0.7928143029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68"/>
      <c r="D54" s="68"/>
      <c r="E54" s="68">
        <f>IFERROR(__xludf.DUMMYFUNCTION("""COMPUTED_VALUE"""),0.0)</f>
        <v>0</v>
      </c>
      <c r="F54" s="68">
        <f>IFERROR(__xludf.DUMMYFUNCTION("""COMPUTED_VALUE"""),0.0)</f>
        <v>0</v>
      </c>
      <c r="G54" s="68">
        <f>IFERROR(__xludf.DUMMYFUNCTION("""COMPUTED_VALUE"""),0.0)</f>
        <v>0</v>
      </c>
      <c r="H54" s="69"/>
      <c r="I54" s="68">
        <f>IFERROR(__xludf.DUMMYFUNCTION("""COMPUTED_VALUE"""),0.0)</f>
        <v>0</v>
      </c>
      <c r="J54" s="68">
        <f>IFERROR(__xludf.DUMMYFUNCTION("""COMPUTED_VALUE"""),0.0)</f>
        <v>0</v>
      </c>
      <c r="K54" s="68"/>
      <c r="L54" s="68"/>
      <c r="M54" s="68"/>
      <c r="N54" s="68"/>
      <c r="O54" s="52">
        <f>IFERROR(__xludf.DUMMYFUNCTION("""COMPUTED_VALUE"""),0.0)</f>
        <v>0</v>
      </c>
      <c r="P54" s="53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67">
        <f>IFERROR(__xludf.DUMMYFUNCTION("""COMPUTED_VALUE"""),343629.0)</f>
        <v>343629</v>
      </c>
      <c r="C55" s="68">
        <f>IFERROR(__xludf.DUMMYFUNCTION("""COMPUTED_VALUE"""),95007.0)</f>
        <v>95007</v>
      </c>
      <c r="D55" s="68">
        <f>IFERROR(__xludf.DUMMYFUNCTION("""COMPUTED_VALUE"""),56045.0)</f>
        <v>56045</v>
      </c>
      <c r="E55" s="68">
        <f>IFERROR(__xludf.DUMMYFUNCTION("""COMPUTED_VALUE"""),36465.0)</f>
        <v>36465</v>
      </c>
      <c r="F55" s="68">
        <f>IFERROR(__xludf.DUMMYFUNCTION("""COMPUTED_VALUE"""),36542.0)</f>
        <v>36542</v>
      </c>
      <c r="G55" s="68">
        <f>IFERROR(__xludf.DUMMYFUNCTION("""COMPUTED_VALUE"""),110165.0)</f>
        <v>110165</v>
      </c>
      <c r="H55" s="69"/>
      <c r="I55" s="68">
        <f>IFERROR(__xludf.DUMMYFUNCTION("""COMPUTED_VALUE"""),127886.0)</f>
        <v>127886</v>
      </c>
      <c r="J55" s="68">
        <f>IFERROR(__xludf.DUMMYFUNCTION("""COMPUTED_VALUE"""),22605.0)</f>
        <v>22605</v>
      </c>
      <c r="K55" s="68"/>
      <c r="L55" s="68"/>
      <c r="M55" s="68"/>
      <c r="N55" s="68"/>
      <c r="O55" s="52">
        <f>IFERROR(__xludf.DUMMYFUNCTION("""COMPUTED_VALUE"""),828344.0)</f>
        <v>828344</v>
      </c>
      <c r="P55" s="53">
        <f>IFERROR(__xludf.DUMMYFUNCTION("""COMPUTED_VALUE"""),0.02792365687366853)</f>
        <v>0.02792365687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67">
        <f>IFERROR(__xludf.DUMMYFUNCTION("""COMPUTED_VALUE"""),1734.0)</f>
        <v>1734</v>
      </c>
      <c r="C56" s="68">
        <f>IFERROR(__xludf.DUMMYFUNCTION("""COMPUTED_VALUE"""),1280.0)</f>
        <v>1280</v>
      </c>
      <c r="D56" s="68">
        <f>IFERROR(__xludf.DUMMYFUNCTION("""COMPUTED_VALUE"""),1280.0)</f>
        <v>1280</v>
      </c>
      <c r="E56" s="68">
        <f>IFERROR(__xludf.DUMMYFUNCTION("""COMPUTED_VALUE"""),1280.0)</f>
        <v>1280</v>
      </c>
      <c r="F56" s="68">
        <f>IFERROR(__xludf.DUMMYFUNCTION("""COMPUTED_VALUE"""),1280.0)</f>
        <v>1280</v>
      </c>
      <c r="G56" s="68">
        <f>IFERROR(__xludf.DUMMYFUNCTION("""COMPUTED_VALUE"""),0.0)</f>
        <v>0</v>
      </c>
      <c r="H56" s="69"/>
      <c r="I56" s="68">
        <f>IFERROR(__xludf.DUMMYFUNCTION("""COMPUTED_VALUE"""),0.0)</f>
        <v>0</v>
      </c>
      <c r="J56" s="68">
        <f>IFERROR(__xludf.DUMMYFUNCTION("""COMPUTED_VALUE"""),0.0)</f>
        <v>0</v>
      </c>
      <c r="K56" s="68"/>
      <c r="L56" s="68"/>
      <c r="M56" s="68"/>
      <c r="N56" s="68"/>
      <c r="O56" s="52">
        <f>IFERROR(__xludf.DUMMYFUNCTION("""COMPUTED_VALUE"""),6854.0)</f>
        <v>6854</v>
      </c>
      <c r="P56" s="53">
        <f>IFERROR(__xludf.DUMMYFUNCTION("""COMPUTED_VALUE"""),2.3104983462441222E-4)</f>
        <v>0.0002310498346</v>
      </c>
      <c r="Q56" s="16"/>
    </row>
    <row r="57" ht="15.75" customHeight="1">
      <c r="A57" s="51" t="str">
        <f>IFERROR(__xludf.DUMMYFUNCTION("""COMPUTED_VALUE"""),"印刷関連")</f>
        <v>印刷関連</v>
      </c>
      <c r="B57" s="70">
        <f>IFERROR(__xludf.DUMMYFUNCTION("""COMPUTED_VALUE"""),267500.0)</f>
        <v>267500</v>
      </c>
      <c r="C57" s="68"/>
      <c r="D57" s="68">
        <f>IFERROR(__xludf.DUMMYFUNCTION("""COMPUTED_VALUE"""),1220.0)</f>
        <v>1220</v>
      </c>
      <c r="E57" s="68">
        <f>IFERROR(__xludf.DUMMYFUNCTION("""COMPUTED_VALUE"""),418000.0)</f>
        <v>418000</v>
      </c>
      <c r="F57" s="68">
        <f>IFERROR(__xludf.DUMMYFUNCTION("""COMPUTED_VALUE"""),0.0)</f>
        <v>0</v>
      </c>
      <c r="G57" s="68">
        <f>IFERROR(__xludf.DUMMYFUNCTION("""COMPUTED_VALUE"""),0.0)</f>
        <v>0</v>
      </c>
      <c r="H57" s="69"/>
      <c r="I57" s="68">
        <f>IFERROR(__xludf.DUMMYFUNCTION("""COMPUTED_VALUE"""),385000.0)</f>
        <v>385000</v>
      </c>
      <c r="J57" s="68">
        <f>IFERROR(__xludf.DUMMYFUNCTION("""COMPUTED_VALUE"""),0.0)</f>
        <v>0</v>
      </c>
      <c r="K57" s="68"/>
      <c r="L57" s="68"/>
      <c r="M57" s="68"/>
      <c r="N57" s="68"/>
      <c r="O57" s="52">
        <f>IFERROR(__xludf.DUMMYFUNCTION("""COMPUTED_VALUE"""),1071720.0)</f>
        <v>1071720</v>
      </c>
      <c r="P57" s="53">
        <f>IFERROR(__xludf.DUMMYFUNCTION("""COMPUTED_VALUE"""),0.03612791490570106)</f>
        <v>0.03612791491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68"/>
      <c r="D58" s="68"/>
      <c r="E58" s="68">
        <f>IFERROR(__xludf.DUMMYFUNCTION("""COMPUTED_VALUE"""),0.0)</f>
        <v>0</v>
      </c>
      <c r="F58" s="68">
        <f>IFERROR(__xludf.DUMMYFUNCTION("""COMPUTED_VALUE"""),0.0)</f>
        <v>0</v>
      </c>
      <c r="G58" s="68">
        <f>IFERROR(__xludf.DUMMYFUNCTION("""COMPUTED_VALUE"""),0.0)</f>
        <v>0</v>
      </c>
      <c r="H58" s="69"/>
      <c r="I58" s="68">
        <f>IFERROR(__xludf.DUMMYFUNCTION("""COMPUTED_VALUE"""),0.0)</f>
        <v>0</v>
      </c>
      <c r="J58" s="68">
        <f>IFERROR(__xludf.DUMMYFUNCTION("""COMPUTED_VALUE"""),0.0)</f>
        <v>0</v>
      </c>
      <c r="K58" s="68"/>
      <c r="L58" s="68"/>
      <c r="M58" s="68"/>
      <c r="N58" s="68"/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67">
        <f>IFERROR(__xludf.DUMMYFUNCTION("""COMPUTED_VALUE"""),361972.0)</f>
        <v>361972</v>
      </c>
      <c r="C59" s="68">
        <f>IFERROR(__xludf.DUMMYFUNCTION("""COMPUTED_VALUE"""),235738.0)</f>
        <v>235738</v>
      </c>
      <c r="D59" s="68">
        <f>IFERROR(__xludf.DUMMYFUNCTION("""COMPUTED_VALUE"""),6172.0)</f>
        <v>6172</v>
      </c>
      <c r="E59" s="68">
        <f>IFERROR(__xludf.DUMMYFUNCTION("""COMPUTED_VALUE"""),0.0)</f>
        <v>0</v>
      </c>
      <c r="F59" s="68">
        <f>IFERROR(__xludf.DUMMYFUNCTION("""COMPUTED_VALUE"""),3300.0)</f>
        <v>3300</v>
      </c>
      <c r="G59" s="68">
        <f>IFERROR(__xludf.DUMMYFUNCTION("""COMPUTED_VALUE"""),1062600.0)</f>
        <v>1062600</v>
      </c>
      <c r="H59" s="69"/>
      <c r="I59" s="68">
        <f>IFERROR(__xludf.DUMMYFUNCTION("""COMPUTED_VALUE"""),1108800.0)</f>
        <v>1108800</v>
      </c>
      <c r="J59" s="68">
        <f>IFERROR(__xludf.DUMMYFUNCTION("""COMPUTED_VALUE"""),1350580.0)</f>
        <v>1350580</v>
      </c>
      <c r="K59" s="68"/>
      <c r="L59" s="68"/>
      <c r="M59" s="68"/>
      <c r="N59" s="68"/>
      <c r="O59" s="52">
        <f>IFERROR(__xludf.DUMMYFUNCTION("""COMPUTED_VALUE"""),4129162.0)</f>
        <v>4129162</v>
      </c>
      <c r="P59" s="53">
        <f>IFERROR(__xludf.DUMMYFUNCTION("""COMPUTED_VALUE"""),0.13919495144986974)</f>
        <v>0.1391949514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68"/>
      <c r="D60" s="68"/>
      <c r="E60" s="68">
        <f>IFERROR(__xludf.DUMMYFUNCTION("""COMPUTED_VALUE"""),0.0)</f>
        <v>0</v>
      </c>
      <c r="F60" s="68">
        <f>IFERROR(__xludf.DUMMYFUNCTION("""COMPUTED_VALUE"""),0.0)</f>
        <v>0</v>
      </c>
      <c r="G60" s="68">
        <f>IFERROR(__xludf.DUMMYFUNCTION("""COMPUTED_VALUE"""),0.0)</f>
        <v>0</v>
      </c>
      <c r="H60" s="69"/>
      <c r="I60" s="68">
        <f>IFERROR(__xludf.DUMMYFUNCTION("""COMPUTED_VALUE"""),0.0)</f>
        <v>0</v>
      </c>
      <c r="J60" s="68">
        <f>IFERROR(__xludf.DUMMYFUNCTION("""COMPUTED_VALUE"""),110000.0)</f>
        <v>110000</v>
      </c>
      <c r="K60" s="68"/>
      <c r="L60" s="68"/>
      <c r="M60" s="68"/>
      <c r="N60" s="68"/>
      <c r="O60" s="52">
        <f>IFERROR(__xludf.DUMMYFUNCTION("""COMPUTED_VALUE"""),110000.0)</f>
        <v>110000</v>
      </c>
      <c r="P60" s="53">
        <f>IFERROR(__xludf.DUMMYFUNCTION("""COMPUTED_VALUE"""),0.003708123987260774)</f>
        <v>0.003708123987</v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62"/>
      <c r="D61" s="62"/>
      <c r="E61" s="62">
        <f>IFERROR(__xludf.DUMMYFUNCTION("""COMPUTED_VALUE"""),1000.0)</f>
        <v>1000</v>
      </c>
      <c r="F61" s="62">
        <f>IFERROR(__xludf.DUMMYFUNCTION("""COMPUTED_VALUE"""),0.0)</f>
        <v>0</v>
      </c>
      <c r="G61" s="62">
        <f>IFERROR(__xludf.DUMMYFUNCTION("""COMPUTED_VALUE"""),0.0)</f>
        <v>0</v>
      </c>
      <c r="H61" s="24"/>
      <c r="I61" s="62">
        <f>IFERROR(__xludf.DUMMYFUNCTION("""COMPUTED_VALUE"""),0.0)</f>
        <v>0</v>
      </c>
      <c r="J61" s="62">
        <f>IFERROR(__xludf.DUMMYFUNCTION("""COMPUTED_VALUE"""),1000.0)</f>
        <v>1000</v>
      </c>
      <c r="K61" s="62"/>
      <c r="L61" s="62"/>
      <c r="M61" s="62"/>
      <c r="N61" s="62"/>
      <c r="O61" s="46">
        <f>IFERROR(__xludf.DUMMYFUNCTION("""COMPUTED_VALUE"""),2000.0)</f>
        <v>2000</v>
      </c>
      <c r="P61" s="47">
        <f>IFERROR(__xludf.DUMMYFUNCTION("""COMPUTED_VALUE"""),1.3226908417741656E-5)</f>
        <v>0.00001322690842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62"/>
      <c r="D62" s="62">
        <f>IFERROR(__xludf.DUMMYFUNCTION("""COMPUTED_VALUE"""),5227.0)</f>
        <v>5227</v>
      </c>
      <c r="E62" s="62">
        <f>IFERROR(__xludf.DUMMYFUNCTION("""COMPUTED_VALUE"""),2376.0)</f>
        <v>2376</v>
      </c>
      <c r="F62" s="62">
        <f>IFERROR(__xludf.DUMMYFUNCTION("""COMPUTED_VALUE"""),0.0)</f>
        <v>0</v>
      </c>
      <c r="G62" s="62">
        <f>IFERROR(__xludf.DUMMYFUNCTION("""COMPUTED_VALUE"""),0.0)</f>
        <v>0</v>
      </c>
      <c r="H62" s="24"/>
      <c r="I62" s="62">
        <f>IFERROR(__xludf.DUMMYFUNCTION("""COMPUTED_VALUE"""),0.0)</f>
        <v>0</v>
      </c>
      <c r="J62" s="62">
        <f>IFERROR(__xludf.DUMMYFUNCTION("""COMPUTED_VALUE"""),1512.0)</f>
        <v>1512</v>
      </c>
      <c r="K62" s="62"/>
      <c r="L62" s="62"/>
      <c r="M62" s="62"/>
      <c r="N62" s="62"/>
      <c r="O62" s="46">
        <f>IFERROR(__xludf.DUMMYFUNCTION("""COMPUTED_VALUE"""),9115.0)</f>
        <v>9115</v>
      </c>
      <c r="P62" s="47">
        <f>IFERROR(__xludf.DUMMYFUNCTION("""COMPUTED_VALUE"""),6.02816351138576E-5)</f>
        <v>0.00006028163511</v>
      </c>
      <c r="Q62" s="16"/>
    </row>
    <row r="63" ht="15.75" customHeight="1">
      <c r="A63" s="48" t="str">
        <f>IFERROR(__xludf.DUMMYFUNCTION("""COMPUTED_VALUE"""),"会議費")</f>
        <v>会議費</v>
      </c>
      <c r="B63" s="67">
        <f>IFERROR(__xludf.DUMMYFUNCTION("""COMPUTED_VALUE"""),1320.0)</f>
        <v>1320</v>
      </c>
      <c r="C63" s="62"/>
      <c r="D63" s="62"/>
      <c r="E63" s="62">
        <f>IFERROR(__xludf.DUMMYFUNCTION("""COMPUTED_VALUE"""),3300.0)</f>
        <v>3300</v>
      </c>
      <c r="F63" s="62">
        <f>IFERROR(__xludf.DUMMYFUNCTION("""COMPUTED_VALUE"""),4411.0)</f>
        <v>4411</v>
      </c>
      <c r="G63" s="62">
        <f>IFERROR(__xludf.DUMMYFUNCTION("""COMPUTED_VALUE"""),9750.0)</f>
        <v>9750</v>
      </c>
      <c r="H63" s="24"/>
      <c r="I63" s="62">
        <f>IFERROR(__xludf.DUMMYFUNCTION("""COMPUTED_VALUE"""),0.0)</f>
        <v>0</v>
      </c>
      <c r="J63" s="62">
        <f>IFERROR(__xludf.DUMMYFUNCTION("""COMPUTED_VALUE"""),3454.0)</f>
        <v>3454</v>
      </c>
      <c r="K63" s="62"/>
      <c r="L63" s="62"/>
      <c r="M63" s="62"/>
      <c r="N63" s="62"/>
      <c r="O63" s="46">
        <f>IFERROR(__xludf.DUMMYFUNCTION("""COMPUTED_VALUE"""),22235.0)</f>
        <v>22235</v>
      </c>
      <c r="P63" s="47">
        <f>IFERROR(__xludf.DUMMYFUNCTION("""COMPUTED_VALUE"""),1.4705015433424286E-4)</f>
        <v>0.0001470501543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62"/>
      <c r="D64" s="62"/>
      <c r="E64" s="62">
        <f>IFERROR(__xludf.DUMMYFUNCTION("""COMPUTED_VALUE"""),0.0)</f>
        <v>0</v>
      </c>
      <c r="F64" s="62">
        <f>IFERROR(__xludf.DUMMYFUNCTION("""COMPUTED_VALUE"""),0.0)</f>
        <v>0</v>
      </c>
      <c r="G64" s="62">
        <f>IFERROR(__xludf.DUMMYFUNCTION("""COMPUTED_VALUE"""),0.0)</f>
        <v>0</v>
      </c>
      <c r="H64" s="24"/>
      <c r="I64" s="62">
        <f>IFERROR(__xludf.DUMMYFUNCTION("""COMPUTED_VALUE"""),0.0)</f>
        <v>0</v>
      </c>
      <c r="J64" s="62">
        <f>IFERROR(__xludf.DUMMYFUNCTION("""COMPUTED_VALUE"""),0.0)</f>
        <v>0</v>
      </c>
      <c r="K64" s="62"/>
      <c r="L64" s="62"/>
      <c r="M64" s="62"/>
      <c r="N64" s="62"/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70"/>
      <c r="C65" s="62"/>
      <c r="D65" s="62">
        <f>IFERROR(__xludf.DUMMYFUNCTION("""COMPUTED_VALUE"""),1790.0)</f>
        <v>1790</v>
      </c>
      <c r="E65" s="62">
        <f>IFERROR(__xludf.DUMMYFUNCTION("""COMPUTED_VALUE"""),0.0)</f>
        <v>0</v>
      </c>
      <c r="F65" s="62">
        <f>IFERROR(__xludf.DUMMYFUNCTION("""COMPUTED_VALUE"""),0.0)</f>
        <v>0</v>
      </c>
      <c r="G65" s="62">
        <f>IFERROR(__xludf.DUMMYFUNCTION("""COMPUTED_VALUE"""),0.0)</f>
        <v>0</v>
      </c>
      <c r="H65" s="24"/>
      <c r="I65" s="62">
        <f>IFERROR(__xludf.DUMMYFUNCTION("""COMPUTED_VALUE"""),8058.0)</f>
        <v>8058</v>
      </c>
      <c r="J65" s="62">
        <f>IFERROR(__xludf.DUMMYFUNCTION("""COMPUTED_VALUE"""),19844.0)</f>
        <v>19844</v>
      </c>
      <c r="K65" s="62"/>
      <c r="L65" s="62"/>
      <c r="M65" s="62"/>
      <c r="N65" s="62"/>
      <c r="O65" s="46">
        <f>IFERROR(__xludf.DUMMYFUNCTION("""COMPUTED_VALUE"""),29692.0)</f>
        <v>29692</v>
      </c>
      <c r="P65" s="47">
        <f>IFERROR(__xludf.DUMMYFUNCTION("""COMPUTED_VALUE"""),1.9636668236979263E-4)</f>
        <v>0.0001963666824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62"/>
      <c r="D66" s="62"/>
      <c r="E66" s="62">
        <f>IFERROR(__xludf.DUMMYFUNCTION("""COMPUTED_VALUE"""),0.0)</f>
        <v>0</v>
      </c>
      <c r="F66" s="62">
        <f>IFERROR(__xludf.DUMMYFUNCTION("""COMPUTED_VALUE"""),0.0)</f>
        <v>0</v>
      </c>
      <c r="G66" s="62">
        <f>IFERROR(__xludf.DUMMYFUNCTION("""COMPUTED_VALUE"""),7920.0)</f>
        <v>7920</v>
      </c>
      <c r="H66" s="24"/>
      <c r="I66" s="62">
        <f>IFERROR(__xludf.DUMMYFUNCTION("""COMPUTED_VALUE"""),38182.0)</f>
        <v>38182</v>
      </c>
      <c r="J66" s="62">
        <f>IFERROR(__xludf.DUMMYFUNCTION("""COMPUTED_VALUE"""),7179.0)</f>
        <v>7179</v>
      </c>
      <c r="K66" s="62"/>
      <c r="L66" s="62"/>
      <c r="M66" s="62"/>
      <c r="N66" s="62"/>
      <c r="O66" s="46">
        <f>IFERROR(__xludf.DUMMYFUNCTION("""COMPUTED_VALUE"""),53281.0)</f>
        <v>53281</v>
      </c>
      <c r="P66" s="47">
        <f>IFERROR(__xludf.DUMMYFUNCTION("""COMPUTED_VALUE"""),3.523714537028466E-4)</f>
        <v>0.0003523714537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62"/>
      <c r="D67" s="62"/>
      <c r="E67" s="62">
        <f>IFERROR(__xludf.DUMMYFUNCTION("""COMPUTED_VALUE"""),0.0)</f>
        <v>0</v>
      </c>
      <c r="F67" s="62">
        <f>IFERROR(__xludf.DUMMYFUNCTION("""COMPUTED_VALUE"""),0.0)</f>
        <v>0</v>
      </c>
      <c r="G67" s="62">
        <f>IFERROR(__xludf.DUMMYFUNCTION("""COMPUTED_VALUE"""),0.0)</f>
        <v>0</v>
      </c>
      <c r="H67" s="24"/>
      <c r="I67" s="62">
        <f>IFERROR(__xludf.DUMMYFUNCTION("""COMPUTED_VALUE"""),0.0)</f>
        <v>0</v>
      </c>
      <c r="J67" s="62">
        <f>IFERROR(__xludf.DUMMYFUNCTION("""COMPUTED_VALUE"""),0.0)</f>
        <v>0</v>
      </c>
      <c r="K67" s="62"/>
      <c r="L67" s="62"/>
      <c r="M67" s="62"/>
      <c r="N67" s="62"/>
      <c r="O67" s="46">
        <f>IFERROR(__xludf.DUMMYFUNCTION("""COMPUTED_VALUE"""),0.0)</f>
        <v>0</v>
      </c>
      <c r="P67" s="47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62"/>
      <c r="D68" s="62"/>
      <c r="E68" s="62">
        <f>IFERROR(__xludf.DUMMYFUNCTION("""COMPUTED_VALUE"""),0.0)</f>
        <v>0</v>
      </c>
      <c r="F68" s="62">
        <f>IFERROR(__xludf.DUMMYFUNCTION("""COMPUTED_VALUE"""),0.0)</f>
        <v>0</v>
      </c>
      <c r="G68" s="62">
        <f>IFERROR(__xludf.DUMMYFUNCTION("""COMPUTED_VALUE"""),0.0)</f>
        <v>0</v>
      </c>
      <c r="H68" s="24"/>
      <c r="I68" s="62">
        <f>IFERROR(__xludf.DUMMYFUNCTION("""COMPUTED_VALUE"""),0.0)</f>
        <v>0</v>
      </c>
      <c r="J68" s="62">
        <f>IFERROR(__xludf.DUMMYFUNCTION("""COMPUTED_VALUE"""),0.0)</f>
        <v>0</v>
      </c>
      <c r="K68" s="62"/>
      <c r="L68" s="62"/>
      <c r="M68" s="62"/>
      <c r="N68" s="62"/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62"/>
      <c r="D69" s="62"/>
      <c r="E69" s="62">
        <f>IFERROR(__xludf.DUMMYFUNCTION("""COMPUTED_VALUE"""),0.0)</f>
        <v>0</v>
      </c>
      <c r="F69" s="62">
        <f>IFERROR(__xludf.DUMMYFUNCTION("""COMPUTED_VALUE"""),0.0)</f>
        <v>0</v>
      </c>
      <c r="G69" s="62">
        <f>IFERROR(__xludf.DUMMYFUNCTION("""COMPUTED_VALUE"""),0.0)</f>
        <v>0</v>
      </c>
      <c r="H69" s="24"/>
      <c r="I69" s="62">
        <f>IFERROR(__xludf.DUMMYFUNCTION("""COMPUTED_VALUE"""),0.0)</f>
        <v>0</v>
      </c>
      <c r="J69" s="62">
        <f>IFERROR(__xludf.DUMMYFUNCTION("""COMPUTED_VALUE"""),0.0)</f>
        <v>0</v>
      </c>
      <c r="K69" s="62"/>
      <c r="L69" s="62"/>
      <c r="M69" s="62"/>
      <c r="N69" s="62"/>
      <c r="O69" s="46">
        <f>IFERROR(__xludf.DUMMYFUNCTION("""COMPUTED_VALUE"""),0.0)</f>
        <v>0</v>
      </c>
      <c r="P69" s="47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62"/>
      <c r="D70" s="62"/>
      <c r="E70" s="62">
        <f>IFERROR(__xludf.DUMMYFUNCTION("""COMPUTED_VALUE"""),0.0)</f>
        <v>0</v>
      </c>
      <c r="F70" s="62">
        <f>IFERROR(__xludf.DUMMYFUNCTION("""COMPUTED_VALUE"""),0.0)</f>
        <v>0</v>
      </c>
      <c r="G70" s="62">
        <f>IFERROR(__xludf.DUMMYFUNCTION("""COMPUTED_VALUE"""),0.0)</f>
        <v>0</v>
      </c>
      <c r="H70" s="24"/>
      <c r="I70" s="62">
        <f>IFERROR(__xludf.DUMMYFUNCTION("""COMPUTED_VALUE"""),0.0)</f>
        <v>0</v>
      </c>
      <c r="J70" s="62">
        <f>IFERROR(__xludf.DUMMYFUNCTION("""COMPUTED_VALUE"""),0.0)</f>
        <v>0</v>
      </c>
      <c r="K70" s="62"/>
      <c r="L70" s="62"/>
      <c r="M70" s="62"/>
      <c r="N70" s="62"/>
      <c r="O70" s="46">
        <f>IFERROR(__xludf.DUMMYFUNCTION("""COMPUTED_VALUE"""),0.0)</f>
        <v>0</v>
      </c>
      <c r="P70" s="47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62"/>
      <c r="D71" s="62"/>
      <c r="E71" s="62">
        <f>IFERROR(__xludf.DUMMYFUNCTION("""COMPUTED_VALUE"""),0.0)</f>
        <v>0</v>
      </c>
      <c r="F71" s="62">
        <f>IFERROR(__xludf.DUMMYFUNCTION("""COMPUTED_VALUE"""),0.0)</f>
        <v>0</v>
      </c>
      <c r="G71" s="62">
        <f>IFERROR(__xludf.DUMMYFUNCTION("""COMPUTED_VALUE"""),0.0)</f>
        <v>0</v>
      </c>
      <c r="H71" s="24"/>
      <c r="I71" s="62">
        <f>IFERROR(__xludf.DUMMYFUNCTION("""COMPUTED_VALUE"""),0.0)</f>
        <v>0</v>
      </c>
      <c r="J71" s="62">
        <f>IFERROR(__xludf.DUMMYFUNCTION("""COMPUTED_VALUE"""),0.0)</f>
        <v>0</v>
      </c>
      <c r="K71" s="62"/>
      <c r="L71" s="62"/>
      <c r="M71" s="62"/>
      <c r="N71" s="62"/>
      <c r="O71" s="46">
        <f>IFERROR(__xludf.DUMMYFUNCTION("""COMPUTED_VALUE"""),0.0)</f>
        <v>0</v>
      </c>
      <c r="P71" s="47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67">
        <f>IFERROR(__xludf.DUMMYFUNCTION("""COMPUTED_VALUE"""),1980.0)</f>
        <v>1980</v>
      </c>
      <c r="C72" s="62"/>
      <c r="D72" s="62"/>
      <c r="E72" s="62">
        <f>IFERROR(__xludf.DUMMYFUNCTION("""COMPUTED_VALUE"""),0.0)</f>
        <v>0</v>
      </c>
      <c r="F72" s="62">
        <f>IFERROR(__xludf.DUMMYFUNCTION("""COMPUTED_VALUE"""),0.0)</f>
        <v>0</v>
      </c>
      <c r="G72" s="62">
        <f>IFERROR(__xludf.DUMMYFUNCTION("""COMPUTED_VALUE"""),0.0)</f>
        <v>0</v>
      </c>
      <c r="H72" s="24"/>
      <c r="I72" s="62">
        <f>IFERROR(__xludf.DUMMYFUNCTION("""COMPUTED_VALUE"""),0.0)</f>
        <v>0</v>
      </c>
      <c r="J72" s="62">
        <f>IFERROR(__xludf.DUMMYFUNCTION("""COMPUTED_VALUE"""),0.0)</f>
        <v>0</v>
      </c>
      <c r="K72" s="62"/>
      <c r="L72" s="62"/>
      <c r="M72" s="62"/>
      <c r="N72" s="62"/>
      <c r="O72" s="46">
        <f>IFERROR(__xludf.DUMMYFUNCTION("""COMPUTED_VALUE"""),1980.0)</f>
        <v>1980</v>
      </c>
      <c r="P72" s="47">
        <f>IFERROR(__xludf.DUMMYFUNCTION("""COMPUTED_VALUE"""),1.309463933356424E-5)</f>
        <v>0.00001309463933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62"/>
      <c r="D73" s="62"/>
      <c r="E73" s="62">
        <f>IFERROR(__xludf.DUMMYFUNCTION("""COMPUTED_VALUE"""),0.0)</f>
        <v>0</v>
      </c>
      <c r="F73" s="62">
        <f>IFERROR(__xludf.DUMMYFUNCTION("""COMPUTED_VALUE"""),0.0)</f>
        <v>0</v>
      </c>
      <c r="G73" s="62">
        <f>IFERROR(__xludf.DUMMYFUNCTION("""COMPUTED_VALUE"""),0.0)</f>
        <v>0</v>
      </c>
      <c r="H73" s="24"/>
      <c r="I73" s="62">
        <f>IFERROR(__xludf.DUMMYFUNCTION("""COMPUTED_VALUE"""),0.0)</f>
        <v>0</v>
      </c>
      <c r="J73" s="62">
        <f>IFERROR(__xludf.DUMMYFUNCTION("""COMPUTED_VALUE"""),0.0)</f>
        <v>0</v>
      </c>
      <c r="K73" s="62"/>
      <c r="L73" s="62"/>
      <c r="M73" s="62"/>
      <c r="N73" s="62"/>
      <c r="O73" s="46">
        <f>IFERROR(__xludf.DUMMYFUNCTION("""COMPUTED_VALUE"""),0.0)</f>
        <v>0</v>
      </c>
      <c r="P73" s="47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62"/>
      <c r="D74" s="62">
        <f>IFERROR(__xludf.DUMMYFUNCTION("""COMPUTED_VALUE"""),2090.0)</f>
        <v>2090</v>
      </c>
      <c r="E74" s="62">
        <f>IFERROR(__xludf.DUMMYFUNCTION("""COMPUTED_VALUE"""),0.0)</f>
        <v>0</v>
      </c>
      <c r="F74" s="62">
        <f>IFERROR(__xludf.DUMMYFUNCTION("""COMPUTED_VALUE"""),0.0)</f>
        <v>0</v>
      </c>
      <c r="G74" s="62">
        <f>IFERROR(__xludf.DUMMYFUNCTION("""COMPUTED_VALUE"""),0.0)</f>
        <v>0</v>
      </c>
      <c r="H74" s="24"/>
      <c r="I74" s="62">
        <f>IFERROR(__xludf.DUMMYFUNCTION("""COMPUTED_VALUE"""),1760.0)</f>
        <v>1760</v>
      </c>
      <c r="J74" s="62">
        <f>IFERROR(__xludf.DUMMYFUNCTION("""COMPUTED_VALUE"""),131740.0)</f>
        <v>131740</v>
      </c>
      <c r="K74" s="62"/>
      <c r="L74" s="62"/>
      <c r="M74" s="62"/>
      <c r="N74" s="62"/>
      <c r="O74" s="46">
        <f>IFERROR(__xludf.DUMMYFUNCTION("""COMPUTED_VALUE"""),135590.0)</f>
        <v>135590</v>
      </c>
      <c r="P74" s="47">
        <f>IFERROR(__xludf.DUMMYFUNCTION("""COMPUTED_VALUE"""),8.967182561807957E-4)</f>
        <v>0.0008967182562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62"/>
      <c r="D75" s="62"/>
      <c r="E75" s="62">
        <f>IFERROR(__xludf.DUMMYFUNCTION("""COMPUTED_VALUE"""),0.0)</f>
        <v>0</v>
      </c>
      <c r="F75" s="62">
        <f>IFERROR(__xludf.DUMMYFUNCTION("""COMPUTED_VALUE"""),0.0)</f>
        <v>0</v>
      </c>
      <c r="G75" s="62">
        <f>IFERROR(__xludf.DUMMYFUNCTION("""COMPUTED_VALUE"""),0.0)</f>
        <v>0</v>
      </c>
      <c r="H75" s="24"/>
      <c r="I75" s="62">
        <f>IFERROR(__xludf.DUMMYFUNCTION("""COMPUTED_VALUE"""),0.0)</f>
        <v>0</v>
      </c>
      <c r="J75" s="62">
        <f>IFERROR(__xludf.DUMMYFUNCTION("""COMPUTED_VALUE"""),0.0)</f>
        <v>0</v>
      </c>
      <c r="K75" s="62"/>
      <c r="L75" s="62"/>
      <c r="M75" s="62"/>
      <c r="N75" s="62"/>
      <c r="O75" s="46">
        <f>IFERROR(__xludf.DUMMYFUNCTION("""COMPUTED_VALUE"""),0.0)</f>
        <v>0</v>
      </c>
      <c r="P75" s="47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62">
        <f>IFERROR(__xludf.DUMMYFUNCTION("""COMPUTED_VALUE"""),30000.0)</f>
        <v>30000</v>
      </c>
      <c r="D76" s="62"/>
      <c r="E76" s="62">
        <f>IFERROR(__xludf.DUMMYFUNCTION("""COMPUTED_VALUE"""),0.0)</f>
        <v>0</v>
      </c>
      <c r="F76" s="62">
        <f>IFERROR(__xludf.DUMMYFUNCTION("""COMPUTED_VALUE"""),0.0)</f>
        <v>0</v>
      </c>
      <c r="G76" s="62">
        <f>IFERROR(__xludf.DUMMYFUNCTION("""COMPUTED_VALUE"""),4000.0)</f>
        <v>4000</v>
      </c>
      <c r="H76" s="24"/>
      <c r="I76" s="62">
        <f>IFERROR(__xludf.DUMMYFUNCTION("""COMPUTED_VALUE"""),0.0)</f>
        <v>0</v>
      </c>
      <c r="J76" s="62">
        <f>IFERROR(__xludf.DUMMYFUNCTION("""COMPUTED_VALUE"""),0.0)</f>
        <v>0</v>
      </c>
      <c r="K76" s="62"/>
      <c r="L76" s="62"/>
      <c r="M76" s="62"/>
      <c r="N76" s="62"/>
      <c r="O76" s="46">
        <f>IFERROR(__xludf.DUMMYFUNCTION("""COMPUTED_VALUE"""),34000.0)</f>
        <v>34000</v>
      </c>
      <c r="P76" s="47">
        <f>IFERROR(__xludf.DUMMYFUNCTION("""COMPUTED_VALUE"""),2.2485744310160816E-4)</f>
        <v>0.0002248574431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IFERROR(__xludf.DUMMYFUNCTION("""COMPUTED_VALUE"""),9029096.0)</f>
        <v>9029096</v>
      </c>
      <c r="C77" s="46">
        <f>IFERROR(__xludf.DUMMYFUNCTION("""COMPUTED_VALUE"""),9692431.0)</f>
        <v>9692431</v>
      </c>
      <c r="D77" s="46">
        <f>IFERROR(__xludf.DUMMYFUNCTION("""COMPUTED_VALUE"""),1.5122681E7)</f>
        <v>15122681</v>
      </c>
      <c r="E77" s="46">
        <f>IFERROR(__xludf.DUMMYFUNCTION("""COMPUTED_VALUE"""),9673700.0)</f>
        <v>9673700</v>
      </c>
      <c r="F77" s="46">
        <f>IFERROR(__xludf.DUMMYFUNCTION("""COMPUTED_VALUE"""),9294491.0)</f>
        <v>9294491</v>
      </c>
      <c r="G77" s="46">
        <f>IFERROR(__xludf.DUMMYFUNCTION("""COMPUTED_VALUE"""),9471161.0)</f>
        <v>9471161</v>
      </c>
      <c r="H77" s="24"/>
      <c r="I77" s="46">
        <f>IFERROR(__xludf.DUMMYFUNCTION("""COMPUTED_VALUE"""),9811240.0)</f>
        <v>9811240</v>
      </c>
      <c r="J77" s="46">
        <f>IFERROR(__xludf.DUMMYFUNCTION("""COMPUTED_VALUE"""),9783369.0)</f>
        <v>9783369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IFERROR(__xludf.DUMMYFUNCTION("""COMPUTED_VALUE"""),8.1878169E7)</f>
        <v>81878169</v>
      </c>
      <c r="P77" s="47">
        <f>IFERROR(__xludf.DUMMYFUNCTION("""COMPUTED_VALUE"""),0.541497521387687)</f>
        <v>0.5414975214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IFERROR(__xludf.DUMMYFUNCTION("""COMPUTED_VALUE"""),6193736.0)</f>
        <v>6193736</v>
      </c>
      <c r="C78" s="68">
        <f>IFERROR(__xludf.DUMMYFUNCTION("""COMPUTED_VALUE"""),6558862.0)</f>
        <v>6558862</v>
      </c>
      <c r="D78" s="68">
        <f>IFERROR(__xludf.DUMMYFUNCTION("""COMPUTED_VALUE"""),1.184554E7)</f>
        <v>11845540</v>
      </c>
      <c r="E78" s="68">
        <f>IFERROR(__xludf.DUMMYFUNCTION("""COMPUTED_VALUE"""),6507463.0)</f>
        <v>6507463</v>
      </c>
      <c r="F78" s="68">
        <f>IFERROR(__xludf.DUMMYFUNCTION("""COMPUTED_VALUE"""),6065674.0)</f>
        <v>6065674</v>
      </c>
      <c r="G78" s="68">
        <f>IFERROR(__xludf.DUMMYFUNCTION("""COMPUTED_VALUE"""),6168983.0)</f>
        <v>6168983</v>
      </c>
      <c r="H78" s="69"/>
      <c r="I78" s="68">
        <f>IFERROR(__xludf.DUMMYFUNCTION("""COMPUTED_VALUE"""),6424029.0)</f>
        <v>6424029</v>
      </c>
      <c r="J78" s="68">
        <f>IFERROR(__xludf.DUMMYFUNCTION("""COMPUTED_VALUE"""),6522841.0)</f>
        <v>6522841</v>
      </c>
      <c r="K78" s="68"/>
      <c r="L78" s="68"/>
      <c r="M78" s="68"/>
      <c r="N78" s="68"/>
      <c r="O78" s="52">
        <f>IFERROR(__xludf.DUMMYFUNCTION("""COMPUTED_VALUE"""),5.6287128E7)</f>
        <v>56287128</v>
      </c>
      <c r="P78" s="53">
        <f>IFERROR(__xludf.DUMMYFUNCTION("""COMPUTED_VALUE"""),0.6874497645398006)</f>
        <v>0.6874497645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IFERROR(__xludf.DUMMYFUNCTION("""COMPUTED_VALUE"""),779910.0)</f>
        <v>779910</v>
      </c>
      <c r="C79" s="68">
        <f>IFERROR(__xludf.DUMMYFUNCTION("""COMPUTED_VALUE"""),1013207.0)</f>
        <v>1013207</v>
      </c>
      <c r="D79" s="68">
        <f>IFERROR(__xludf.DUMMYFUNCTION("""COMPUTED_VALUE"""),1071335.0)</f>
        <v>1071335</v>
      </c>
      <c r="E79" s="68">
        <f>IFERROR(__xludf.DUMMYFUNCTION("""COMPUTED_VALUE"""),974937.0)</f>
        <v>974937</v>
      </c>
      <c r="F79" s="68">
        <f>IFERROR(__xludf.DUMMYFUNCTION("""COMPUTED_VALUE"""),1018778.0)</f>
        <v>1018778</v>
      </c>
      <c r="G79" s="68">
        <f>IFERROR(__xludf.DUMMYFUNCTION("""COMPUTED_VALUE"""),1065008.0)</f>
        <v>1065008</v>
      </c>
      <c r="H79" s="24"/>
      <c r="I79" s="68">
        <f>IFERROR(__xludf.DUMMYFUNCTION("""COMPUTED_VALUE"""),1156641.0)</f>
        <v>1156641</v>
      </c>
      <c r="J79" s="68">
        <f>IFERROR(__xludf.DUMMYFUNCTION("""COMPUTED_VALUE"""),1013696.0)</f>
        <v>1013696</v>
      </c>
      <c r="K79" s="68"/>
      <c r="L79" s="68"/>
      <c r="M79" s="68"/>
      <c r="N79" s="68"/>
      <c r="O79" s="52">
        <f>IFERROR(__xludf.DUMMYFUNCTION("""COMPUTED_VALUE"""),8093512.0)</f>
        <v>8093512</v>
      </c>
      <c r="P79" s="53">
        <f>IFERROR(__xludf.DUMMYFUNCTION("""COMPUTED_VALUE"""),0.09884822900717284)</f>
        <v>0.09884822901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IFERROR(__xludf.DUMMYFUNCTION("""COMPUTED_VALUE"""),1460944.0)</f>
        <v>1460944</v>
      </c>
      <c r="C80" s="68">
        <f>IFERROR(__xludf.DUMMYFUNCTION("""COMPUTED_VALUE"""),1491559.0)</f>
        <v>1491559</v>
      </c>
      <c r="D80" s="68">
        <f>IFERROR(__xludf.DUMMYFUNCTION("""COMPUTED_VALUE"""),1548513.0)</f>
        <v>1548513</v>
      </c>
      <c r="E80" s="68">
        <f>IFERROR(__xludf.DUMMYFUNCTION("""COMPUTED_VALUE"""),1389580.0)</f>
        <v>1389580</v>
      </c>
      <c r="F80" s="68">
        <f>IFERROR(__xludf.DUMMYFUNCTION("""COMPUTED_VALUE"""),1291916.0)</f>
        <v>1291916</v>
      </c>
      <c r="G80" s="68">
        <f>IFERROR(__xludf.DUMMYFUNCTION("""COMPUTED_VALUE"""),1544254.0)</f>
        <v>1544254</v>
      </c>
      <c r="H80" s="24"/>
      <c r="I80" s="68">
        <f>IFERROR(__xludf.DUMMYFUNCTION("""COMPUTED_VALUE"""),1645472.0)</f>
        <v>1645472</v>
      </c>
      <c r="J80" s="68">
        <f>IFERROR(__xludf.DUMMYFUNCTION("""COMPUTED_VALUE"""),1594864.0)</f>
        <v>1594864</v>
      </c>
      <c r="K80" s="68"/>
      <c r="L80" s="68"/>
      <c r="M80" s="68"/>
      <c r="N80" s="68"/>
      <c r="O80" s="52">
        <f>IFERROR(__xludf.DUMMYFUNCTION("""COMPUTED_VALUE"""),1.1967102E7)</f>
        <v>11967102</v>
      </c>
      <c r="P80" s="53">
        <f>IFERROR(__xludf.DUMMYFUNCTION("""COMPUTED_VALUE"""),0.14615742078941701)</f>
        <v>0.1461574208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IFERROR(__xludf.DUMMYFUNCTION("""COMPUTED_VALUE"""),594506.0)</f>
        <v>594506</v>
      </c>
      <c r="C81" s="68">
        <f>IFERROR(__xludf.DUMMYFUNCTION("""COMPUTED_VALUE"""),628803.0)</f>
        <v>628803</v>
      </c>
      <c r="D81" s="68">
        <f>IFERROR(__xludf.DUMMYFUNCTION("""COMPUTED_VALUE"""),657293.0)</f>
        <v>657293</v>
      </c>
      <c r="E81" s="68">
        <f>IFERROR(__xludf.DUMMYFUNCTION("""COMPUTED_VALUE"""),801720.0)</f>
        <v>801720</v>
      </c>
      <c r="F81" s="68">
        <f>IFERROR(__xludf.DUMMYFUNCTION("""COMPUTED_VALUE"""),918123.0)</f>
        <v>918123</v>
      </c>
      <c r="G81" s="68">
        <f>IFERROR(__xludf.DUMMYFUNCTION("""COMPUTED_VALUE"""),692916.0)</f>
        <v>692916</v>
      </c>
      <c r="H81" s="24"/>
      <c r="I81" s="68">
        <f>IFERROR(__xludf.DUMMYFUNCTION("""COMPUTED_VALUE"""),585098.0)</f>
        <v>585098</v>
      </c>
      <c r="J81" s="68">
        <f>IFERROR(__xludf.DUMMYFUNCTION("""COMPUTED_VALUE"""),651968.0)</f>
        <v>651968</v>
      </c>
      <c r="K81" s="68"/>
      <c r="L81" s="68"/>
      <c r="M81" s="68"/>
      <c r="N81" s="68"/>
      <c r="O81" s="52">
        <f>IFERROR(__xludf.DUMMYFUNCTION("""COMPUTED_VALUE"""),5530427.0)</f>
        <v>5530427</v>
      </c>
      <c r="P81" s="53">
        <f>IFERROR(__xludf.DUMMYFUNCTION("""COMPUTED_VALUE"""),0.06754458566360955)</f>
        <v>0.06754458566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62"/>
      <c r="D82" s="62"/>
      <c r="E82" s="62"/>
      <c r="F82" s="62"/>
      <c r="G82" s="62"/>
      <c r="H82" s="24"/>
      <c r="I82" s="62"/>
      <c r="J82" s="62"/>
      <c r="K82" s="62"/>
      <c r="L82" s="62"/>
      <c r="M82" s="62"/>
      <c r="N82" s="62"/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62"/>
      <c r="D83" s="62"/>
      <c r="E83" s="62">
        <f>IFERROR(__xludf.DUMMYFUNCTION("""COMPUTED_VALUE"""),0.0)</f>
        <v>0</v>
      </c>
      <c r="F83" s="62">
        <f>IFERROR(__xludf.DUMMYFUNCTION("""COMPUTED_VALUE"""),0.0)</f>
        <v>0</v>
      </c>
      <c r="G83" s="62">
        <f>IFERROR(__xludf.DUMMYFUNCTION("""COMPUTED_VALUE"""),0.0)</f>
        <v>0</v>
      </c>
      <c r="H83" s="24"/>
      <c r="I83" s="62"/>
      <c r="J83" s="62">
        <f>IFERROR(__xludf.DUMMYFUNCTION("""COMPUTED_VALUE"""),0.0)</f>
        <v>0</v>
      </c>
      <c r="K83" s="62"/>
      <c r="L83" s="62"/>
      <c r="M83" s="62"/>
      <c r="N83" s="62"/>
      <c r="O83" s="46">
        <f>IFERROR(__xludf.DUMMYFUNCTION("""COMPUTED_VALUE"""),0.0)</f>
        <v>0</v>
      </c>
      <c r="P83" s="47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IFERROR(__xludf.DUMMYFUNCTION("""COMPUTED_VALUE"""),240509.0)</f>
        <v>240509</v>
      </c>
      <c r="C84" s="46">
        <f>IFERROR(__xludf.DUMMYFUNCTION("""COMPUTED_VALUE"""),267089.0)</f>
        <v>267089</v>
      </c>
      <c r="D84" s="46">
        <f>IFERROR(__xludf.DUMMYFUNCTION("""COMPUTED_VALUE"""),271672.0)</f>
        <v>271672</v>
      </c>
      <c r="E84" s="46">
        <f>IFERROR(__xludf.DUMMYFUNCTION("""COMPUTED_VALUE"""),273811.0)</f>
        <v>273811</v>
      </c>
      <c r="F84" s="46">
        <f>IFERROR(__xludf.DUMMYFUNCTION("""COMPUTED_VALUE"""),288664.0)</f>
        <v>288664</v>
      </c>
      <c r="G84" s="46">
        <f>IFERROR(__xludf.DUMMYFUNCTION("""COMPUTED_VALUE"""),312344.0)</f>
        <v>312344</v>
      </c>
      <c r="H84" s="24"/>
      <c r="I84" s="46">
        <f>IFERROR(__xludf.DUMMYFUNCTION("""COMPUTED_VALUE"""),321015.0)</f>
        <v>321015</v>
      </c>
      <c r="J84" s="46">
        <f>IFERROR(__xludf.DUMMYFUNCTION("""COMPUTED_VALUE"""),310837.0)</f>
        <v>310837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IFERROR(__xludf.DUMMYFUNCTION("""COMPUTED_VALUE"""),2285941.0)</f>
        <v>2285941</v>
      </c>
      <c r="P84" s="47">
        <f>IFERROR(__xludf.DUMMYFUNCTION("""COMPUTED_VALUE"""),0.01511796612768039)</f>
        <v>0.01511796613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>
        <f>IFERROR(__xludf.DUMMYFUNCTION("""COMPUTED_VALUE"""),-484.0)</f>
        <v>-484</v>
      </c>
      <c r="C85" s="68"/>
      <c r="D85" s="68">
        <f>IFERROR(__xludf.DUMMYFUNCTION("""COMPUTED_VALUE"""),-968.0)</f>
        <v>-968</v>
      </c>
      <c r="E85" s="68">
        <f>IFERROR(__xludf.DUMMYFUNCTION("""COMPUTED_VALUE"""),0.0)</f>
        <v>0</v>
      </c>
      <c r="F85" s="68">
        <f>IFERROR(__xludf.DUMMYFUNCTION("""COMPUTED_VALUE"""),0.0)</f>
        <v>0</v>
      </c>
      <c r="G85" s="68">
        <f>IFERROR(__xludf.DUMMYFUNCTION("""COMPUTED_VALUE"""),0.0)</f>
        <v>0</v>
      </c>
      <c r="H85" s="24"/>
      <c r="I85" s="68">
        <f>IFERROR(__xludf.DUMMYFUNCTION("""COMPUTED_VALUE"""),-484.0)</f>
        <v>-484</v>
      </c>
      <c r="J85" s="68">
        <f>IFERROR(__xludf.DUMMYFUNCTION("""COMPUTED_VALUE"""),0.0)</f>
        <v>0</v>
      </c>
      <c r="K85" s="68"/>
      <c r="L85" s="68"/>
      <c r="M85" s="68"/>
      <c r="N85" s="68"/>
      <c r="O85" s="52">
        <f>IFERROR(__xludf.DUMMYFUNCTION("""COMPUTED_VALUE"""),-1936.0)</f>
        <v>-1936</v>
      </c>
      <c r="P85" s="53">
        <f>IFERROR(__xludf.DUMMYFUNCTION("""COMPUTED_VALUE"""),-8.469159965195952E-4)</f>
        <v>-0.0008469159965</v>
      </c>
      <c r="Q85" s="16"/>
    </row>
    <row r="86" ht="15.75" customHeight="1">
      <c r="A86" s="51" t="str">
        <f>IFERROR(__xludf.DUMMYFUNCTION("""COMPUTED_VALUE"""),"電話代行料")</f>
        <v>電話代行料</v>
      </c>
      <c r="B86" s="67">
        <f>IFERROR(__xludf.DUMMYFUNCTION("""COMPUTED_VALUE"""),48290.0)</f>
        <v>48290</v>
      </c>
      <c r="C86" s="68">
        <f>IFERROR(__xludf.DUMMYFUNCTION("""COMPUTED_VALUE"""),51370.0)</f>
        <v>51370</v>
      </c>
      <c r="D86" s="68">
        <f>IFERROR(__xludf.DUMMYFUNCTION("""COMPUTED_VALUE"""),50930.0)</f>
        <v>50930</v>
      </c>
      <c r="E86" s="68">
        <f>IFERROR(__xludf.DUMMYFUNCTION("""COMPUTED_VALUE"""),52250.0)</f>
        <v>52250</v>
      </c>
      <c r="F86" s="68">
        <f>IFERROR(__xludf.DUMMYFUNCTION("""COMPUTED_VALUE"""),50270.0)</f>
        <v>50270</v>
      </c>
      <c r="G86" s="68">
        <f>IFERROR(__xludf.DUMMYFUNCTION("""COMPUTED_VALUE"""),48290.0)</f>
        <v>48290</v>
      </c>
      <c r="H86" s="24"/>
      <c r="I86" s="68">
        <f>IFERROR(__xludf.DUMMYFUNCTION("""COMPUTED_VALUE"""),49500.0)</f>
        <v>49500</v>
      </c>
      <c r="J86" s="68">
        <f>IFERROR(__xludf.DUMMYFUNCTION("""COMPUTED_VALUE"""),50930.0)</f>
        <v>50930</v>
      </c>
      <c r="K86" s="68"/>
      <c r="L86" s="68"/>
      <c r="M86" s="68"/>
      <c r="N86" s="68"/>
      <c r="O86" s="52">
        <f>IFERROR(__xludf.DUMMYFUNCTION("""COMPUTED_VALUE"""),401830.0)</f>
        <v>401830</v>
      </c>
      <c r="P86" s="53">
        <f>IFERROR(__xludf.DUMMYFUNCTION("""COMPUTED_VALUE"""),0.175783189504891)</f>
        <v>0.1757831895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68"/>
      <c r="D87" s="68"/>
      <c r="E87" s="68">
        <f>IFERROR(__xludf.DUMMYFUNCTION("""COMPUTED_VALUE"""),0.0)</f>
        <v>0</v>
      </c>
      <c r="F87" s="68">
        <f>IFERROR(__xludf.DUMMYFUNCTION("""COMPUTED_VALUE"""),0.0)</f>
        <v>0</v>
      </c>
      <c r="G87" s="68">
        <f>IFERROR(__xludf.DUMMYFUNCTION("""COMPUTED_VALUE"""),0.0)</f>
        <v>0</v>
      </c>
      <c r="H87" s="24"/>
      <c r="I87" s="68">
        <f>IFERROR(__xludf.DUMMYFUNCTION("""COMPUTED_VALUE"""),0.0)</f>
        <v>0</v>
      </c>
      <c r="J87" s="68">
        <f>IFERROR(__xludf.DUMMYFUNCTION("""COMPUTED_VALUE"""),0.0)</f>
        <v>0</v>
      </c>
      <c r="K87" s="68"/>
      <c r="L87" s="68"/>
      <c r="M87" s="68"/>
      <c r="N87" s="68"/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67">
        <f>IFERROR(__xludf.DUMMYFUNCTION("""COMPUTED_VALUE"""),192703.0)</f>
        <v>192703</v>
      </c>
      <c r="C88" s="68">
        <f>IFERROR(__xludf.DUMMYFUNCTION("""COMPUTED_VALUE"""),215719.0)</f>
        <v>215719</v>
      </c>
      <c r="D88" s="68">
        <f>IFERROR(__xludf.DUMMYFUNCTION("""COMPUTED_VALUE"""),221710.0)</f>
        <v>221710</v>
      </c>
      <c r="E88" s="68">
        <f>IFERROR(__xludf.DUMMYFUNCTION("""COMPUTED_VALUE"""),221561.0)</f>
        <v>221561</v>
      </c>
      <c r="F88" s="68">
        <f>IFERROR(__xludf.DUMMYFUNCTION("""COMPUTED_VALUE"""),238394.0)</f>
        <v>238394</v>
      </c>
      <c r="G88" s="68">
        <f>IFERROR(__xludf.DUMMYFUNCTION("""COMPUTED_VALUE"""),264054.0)</f>
        <v>264054</v>
      </c>
      <c r="H88" s="24"/>
      <c r="I88" s="68">
        <f>IFERROR(__xludf.DUMMYFUNCTION("""COMPUTED_VALUE"""),271999.0)</f>
        <v>271999</v>
      </c>
      <c r="J88" s="68">
        <f>IFERROR(__xludf.DUMMYFUNCTION("""COMPUTED_VALUE"""),259907.0)</f>
        <v>259907</v>
      </c>
      <c r="K88" s="68"/>
      <c r="L88" s="68"/>
      <c r="M88" s="68"/>
      <c r="N88" s="68"/>
      <c r="O88" s="52">
        <f>IFERROR(__xludf.DUMMYFUNCTION("""COMPUTED_VALUE"""),1886047.0)</f>
        <v>1886047</v>
      </c>
      <c r="P88" s="53">
        <f>IFERROR(__xludf.DUMMYFUNCTION("""COMPUTED_VALUE"""),0.8250637264916286)</f>
        <v>0.8250637265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IFERROR(__xludf.DUMMYFUNCTION("""COMPUTED_VALUE"""),993201.0)</f>
        <v>993201</v>
      </c>
      <c r="C89" s="46">
        <f>IFERROR(__xludf.DUMMYFUNCTION("""COMPUTED_VALUE"""),1175880.0)</f>
        <v>1175880</v>
      </c>
      <c r="D89" s="46">
        <f>IFERROR(__xludf.DUMMYFUNCTION("""COMPUTED_VALUE"""),1305130.0)</f>
        <v>1305130</v>
      </c>
      <c r="E89" s="46">
        <f>IFERROR(__xludf.DUMMYFUNCTION("""COMPUTED_VALUE"""),1738654.0)</f>
        <v>1738654</v>
      </c>
      <c r="F89" s="46">
        <f>IFERROR(__xludf.DUMMYFUNCTION("""COMPUTED_VALUE"""),1835211.0)</f>
        <v>1835211</v>
      </c>
      <c r="G89" s="46">
        <f>IFERROR(__xludf.DUMMYFUNCTION("""COMPUTED_VALUE"""),1244008.0)</f>
        <v>1244008</v>
      </c>
      <c r="H89" s="24"/>
      <c r="I89" s="46">
        <f>IFERROR(__xludf.DUMMYFUNCTION("""COMPUTED_VALUE"""),1612374.0)</f>
        <v>1612374</v>
      </c>
      <c r="J89" s="46">
        <f>IFERROR(__xludf.DUMMYFUNCTION("""COMPUTED_VALUE"""),1066343.0)</f>
        <v>1066343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IFERROR(__xludf.DUMMYFUNCTION("""COMPUTED_VALUE"""),1.0970801E7)</f>
        <v>10970801</v>
      </c>
      <c r="P89" s="47">
        <f>IFERROR(__xludf.DUMMYFUNCTION("""COMPUTED_VALUE"""),0.0725548900481343)</f>
        <v>0.07255489005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68"/>
      <c r="D90" s="68">
        <f>IFERROR(__xludf.DUMMYFUNCTION("""COMPUTED_VALUE"""),33000.0)</f>
        <v>33000</v>
      </c>
      <c r="E90" s="68">
        <f>IFERROR(__xludf.DUMMYFUNCTION("""COMPUTED_VALUE"""),0.0)</f>
        <v>0</v>
      </c>
      <c r="F90" s="68">
        <f>IFERROR(__xludf.DUMMYFUNCTION("""COMPUTED_VALUE"""),0.0)</f>
        <v>0</v>
      </c>
      <c r="G90" s="68">
        <f>IFERROR(__xludf.DUMMYFUNCTION("""COMPUTED_VALUE"""),0.0)</f>
        <v>0</v>
      </c>
      <c r="H90" s="24"/>
      <c r="I90" s="68">
        <f>IFERROR(__xludf.DUMMYFUNCTION("""COMPUTED_VALUE"""),304920.0)</f>
        <v>304920</v>
      </c>
      <c r="J90" s="68">
        <f>IFERROR(__xludf.DUMMYFUNCTION("""COMPUTED_VALUE"""),0.0)</f>
        <v>0</v>
      </c>
      <c r="K90" s="68"/>
      <c r="L90" s="68"/>
      <c r="M90" s="68"/>
      <c r="N90" s="68"/>
      <c r="O90" s="52">
        <f>IFERROR(__xludf.DUMMYFUNCTION("""COMPUTED_VALUE"""),337920.0)</f>
        <v>337920</v>
      </c>
      <c r="P90" s="53">
        <f>IFERROR(__xludf.DUMMYFUNCTION("""COMPUTED_VALUE"""),0.03080176187682194)</f>
        <v>0.03080176188</v>
      </c>
      <c r="Q90" s="16"/>
    </row>
    <row r="91" ht="15.75" customHeight="1">
      <c r="A91" s="51" t="str">
        <f>IFERROR(__xludf.DUMMYFUNCTION("""COMPUTED_VALUE"""),"その他")</f>
        <v>その他</v>
      </c>
      <c r="B91" s="67">
        <f>IFERROR(__xludf.DUMMYFUNCTION("""COMPUTED_VALUE"""),993201.0)</f>
        <v>993201</v>
      </c>
      <c r="C91" s="68">
        <f>IFERROR(__xludf.DUMMYFUNCTION("""COMPUTED_VALUE"""),1175880.0)</f>
        <v>1175880</v>
      </c>
      <c r="D91" s="68">
        <f>IFERROR(__xludf.DUMMYFUNCTION("""COMPUTED_VALUE"""),1272130.0)</f>
        <v>1272130</v>
      </c>
      <c r="E91" s="68">
        <f>IFERROR(__xludf.DUMMYFUNCTION("""COMPUTED_VALUE"""),1738654.0)</f>
        <v>1738654</v>
      </c>
      <c r="F91" s="68">
        <f>IFERROR(__xludf.DUMMYFUNCTION("""COMPUTED_VALUE"""),1835211.0)</f>
        <v>1835211</v>
      </c>
      <c r="G91" s="68">
        <f>IFERROR(__xludf.DUMMYFUNCTION("""COMPUTED_VALUE"""),1244008.0)</f>
        <v>1244008</v>
      </c>
      <c r="H91" s="24"/>
      <c r="I91" s="68">
        <f>IFERROR(__xludf.DUMMYFUNCTION("""COMPUTED_VALUE"""),1307454.0)</f>
        <v>1307454</v>
      </c>
      <c r="J91" s="68">
        <f>IFERROR(__xludf.DUMMYFUNCTION("""COMPUTED_VALUE"""),1066343.0)</f>
        <v>1066343</v>
      </c>
      <c r="K91" s="68"/>
      <c r="L91" s="68"/>
      <c r="M91" s="68"/>
      <c r="N91" s="68"/>
      <c r="O91" s="52">
        <f>IFERROR(__xludf.DUMMYFUNCTION("""COMPUTED_VALUE"""),1.0632881E7)</f>
        <v>10632881</v>
      </c>
      <c r="P91" s="53">
        <f>IFERROR(__xludf.DUMMYFUNCTION("""COMPUTED_VALUE"""),0.9691982381231781)</f>
        <v>0.9691982381</v>
      </c>
      <c r="Q91" s="16"/>
    </row>
    <row r="92" ht="15.75" customHeight="1">
      <c r="A92" s="48" t="str">
        <f>IFERROR(__xludf.DUMMYFUNCTION("""COMPUTED_VALUE"""),"制作費")</f>
        <v>制作費</v>
      </c>
      <c r="B92" s="67">
        <f>IFERROR(__xludf.DUMMYFUNCTION("""COMPUTED_VALUE"""),99000.0)</f>
        <v>99000</v>
      </c>
      <c r="C92" s="62">
        <f>IFERROR(__xludf.DUMMYFUNCTION("""COMPUTED_VALUE"""),99000.0)</f>
        <v>99000</v>
      </c>
      <c r="D92" s="62">
        <f>IFERROR(__xludf.DUMMYFUNCTION("""COMPUTED_VALUE"""),99000.0)</f>
        <v>99000</v>
      </c>
      <c r="E92" s="62">
        <f>IFERROR(__xludf.DUMMYFUNCTION("""COMPUTED_VALUE"""),3573570.0)</f>
        <v>3573570</v>
      </c>
      <c r="F92" s="62">
        <f>IFERROR(__xludf.DUMMYFUNCTION("""COMPUTED_VALUE"""),111256.0)</f>
        <v>111256</v>
      </c>
      <c r="G92" s="62">
        <f>IFERROR(__xludf.DUMMYFUNCTION("""COMPUTED_VALUE"""),426360.0)</f>
        <v>426360</v>
      </c>
      <c r="H92" s="24"/>
      <c r="I92" s="62">
        <f>IFERROR(__xludf.DUMMYFUNCTION("""COMPUTED_VALUE"""),116500.0)</f>
        <v>116500</v>
      </c>
      <c r="J92" s="62">
        <f>IFERROR(__xludf.DUMMYFUNCTION("""COMPUTED_VALUE"""),99000.0)</f>
        <v>99000</v>
      </c>
      <c r="K92" s="62"/>
      <c r="L92" s="62"/>
      <c r="M92" s="62"/>
      <c r="N92" s="62"/>
      <c r="O92" s="46">
        <f>IFERROR(__xludf.DUMMYFUNCTION("""COMPUTED_VALUE"""),4623686.0)</f>
        <v>4623686</v>
      </c>
      <c r="P92" s="47">
        <f>IFERROR(__xludf.DUMMYFUNCTION("""COMPUTED_VALUE"""),0.030578535637197125)</f>
        <v>0.03057853564</v>
      </c>
      <c r="Q92" s="16"/>
    </row>
    <row r="93" ht="15.75" customHeight="1">
      <c r="A93" s="48" t="str">
        <f>IFERROR(__xludf.DUMMYFUNCTION("""COMPUTED_VALUE"""),"販売促進費")</f>
        <v>販売促進費</v>
      </c>
      <c r="B93" s="67">
        <f>IFERROR(__xludf.DUMMYFUNCTION("""COMPUTED_VALUE"""),58964.0)</f>
        <v>58964</v>
      </c>
      <c r="C93" s="62">
        <f>IFERROR(__xludf.DUMMYFUNCTION("""COMPUTED_VALUE"""),14500.0)</f>
        <v>14500</v>
      </c>
      <c r="D93" s="62">
        <f>IFERROR(__xludf.DUMMYFUNCTION("""COMPUTED_VALUE"""),1500.0)</f>
        <v>1500</v>
      </c>
      <c r="E93" s="62">
        <f>IFERROR(__xludf.DUMMYFUNCTION("""COMPUTED_VALUE"""),37000.0)</f>
        <v>37000</v>
      </c>
      <c r="F93" s="62">
        <f>IFERROR(__xludf.DUMMYFUNCTION("""COMPUTED_VALUE"""),35500.0)</f>
        <v>35500</v>
      </c>
      <c r="G93" s="62">
        <f>IFERROR(__xludf.DUMMYFUNCTION("""COMPUTED_VALUE"""),55000.0)</f>
        <v>55000</v>
      </c>
      <c r="H93" s="24"/>
      <c r="I93" s="62">
        <f>IFERROR(__xludf.DUMMYFUNCTION("""COMPUTED_VALUE"""),29000.0)</f>
        <v>29000</v>
      </c>
      <c r="J93" s="62">
        <f>IFERROR(__xludf.DUMMYFUNCTION("""COMPUTED_VALUE"""),54000.0)</f>
        <v>54000</v>
      </c>
      <c r="K93" s="62"/>
      <c r="L93" s="62"/>
      <c r="M93" s="62"/>
      <c r="N93" s="62"/>
      <c r="O93" s="46">
        <f>IFERROR(__xludf.DUMMYFUNCTION("""COMPUTED_VALUE"""),285464.0)</f>
        <v>285464</v>
      </c>
      <c r="P93" s="47">
        <f>IFERROR(__xludf.DUMMYFUNCTION("""COMPUTED_VALUE"""),0.001887903092281102)</f>
        <v>0.001887903092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55"/>
      <c r="D94" s="55"/>
      <c r="E94" s="55"/>
      <c r="F94" s="55"/>
      <c r="G94" s="55"/>
      <c r="H94" s="24"/>
      <c r="I94" s="55"/>
      <c r="J94" s="55"/>
      <c r="K94" s="55"/>
      <c r="L94" s="55"/>
      <c r="M94" s="55"/>
      <c r="N94" s="55"/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IFERROR(__xludf.DUMMYFUNCTION("""COMPUTED_VALUE"""),0.14135772859571363)</f>
        <v>0.1413577286</v>
      </c>
      <c r="C96" s="56">
        <f>IFERROR(__xludf.DUMMYFUNCTION("""COMPUTED_VALUE"""),0.10105634687298642)</f>
        <v>0.1010563469</v>
      </c>
      <c r="D96" s="56">
        <f>IFERROR(__xludf.DUMMYFUNCTION("""COMPUTED_VALUE"""),0.10994138958015999)</f>
        <v>0.1099413896</v>
      </c>
      <c r="E96" s="56">
        <f>IFERROR(__xludf.DUMMYFUNCTION("""COMPUTED_VALUE"""),0.12569600877487536)</f>
        <v>0.1256960088</v>
      </c>
      <c r="F96" s="56">
        <f>IFERROR(__xludf.DUMMYFUNCTION("""COMPUTED_VALUE"""),0.08632521408234893)</f>
        <v>0.08632521408</v>
      </c>
      <c r="G96" s="56">
        <f>IFERROR(__xludf.DUMMYFUNCTION("""COMPUTED_VALUE"""),0.1420574455491887)</f>
        <v>0.1420574455</v>
      </c>
      <c r="H96" s="24"/>
      <c r="I96" s="56">
        <f>IFERROR(__xludf.DUMMYFUNCTION("""COMPUTED_VALUE"""),0.1403560969455315)</f>
        <v>0.1403560969</v>
      </c>
      <c r="J96" s="56">
        <f>IFERROR(__xludf.DUMMYFUNCTION("""COMPUTED_VALUE"""),0.13749007070883545)</f>
        <v>0.1374900707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IFERROR(__xludf.DUMMYFUNCTION("""COMPUTED_VALUE"""),0.12309754132208153)</f>
        <v>0.1230975413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IFERROR(__xludf.DUMMYFUNCTION("""COMPUTED_VALUE"""),0.34626088242395536)</f>
        <v>0.3462608824</v>
      </c>
      <c r="C97" s="56">
        <f>IFERROR(__xludf.DUMMYFUNCTION("""COMPUTED_VALUE"""),0.34930688982967867)</f>
        <v>0.3493068898</v>
      </c>
      <c r="D97" s="56">
        <f>IFERROR(__xludf.DUMMYFUNCTION("""COMPUTED_VALUE"""),0.488981089745621)</f>
        <v>0.4889810897</v>
      </c>
      <c r="E97" s="56">
        <f>IFERROR(__xludf.DUMMYFUNCTION("""COMPUTED_VALUE"""),0.3214580999402822)</f>
        <v>0.3214580999</v>
      </c>
      <c r="F97" s="56">
        <f>IFERROR(__xludf.DUMMYFUNCTION("""COMPUTED_VALUE"""),0.3000111521817686)</f>
        <v>0.3000111522</v>
      </c>
      <c r="G97" s="56">
        <f>IFERROR(__xludf.DUMMYFUNCTION("""COMPUTED_VALUE"""),0.30699907749496125)</f>
        <v>0.3069990775</v>
      </c>
      <c r="H97" s="24"/>
      <c r="I97" s="56">
        <f>IFERROR(__xludf.DUMMYFUNCTION("""COMPUTED_VALUE"""),0.30287382910918903)</f>
        <v>0.3028738291</v>
      </c>
      <c r="J97" s="56">
        <f>IFERROR(__xludf.DUMMYFUNCTION("""COMPUTED_VALUE"""),0.3065380857404475)</f>
        <v>0.3065380857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>
        <f>IFERROR(__xludf.DUMMYFUNCTION("""COMPUTED_VALUE"""),0.16929251218327956)</f>
        <v>0.1692925122</v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IFERROR(__xludf.DUMMYFUNCTION("""COMPUTED_VALUE"""),1821340.090909091)</f>
        <v>1821340.091</v>
      </c>
      <c r="C98" s="46">
        <f>IFERROR(__xludf.DUMMYFUNCTION("""COMPUTED_VALUE"""),2089020.4545454546)</f>
        <v>2089020.455</v>
      </c>
      <c r="D98" s="46">
        <f>IFERROR(__xludf.DUMMYFUNCTION("""COMPUTED_VALUE"""),2292328.8181818184)</f>
        <v>2292328.818</v>
      </c>
      <c r="E98" s="46">
        <f>IFERROR(__xludf.DUMMYFUNCTION("""COMPUTED_VALUE"""),1847231.090909091)</f>
        <v>1847231.091</v>
      </c>
      <c r="F98" s="46">
        <f>IFERROR(__xludf.DUMMYFUNCTION("""COMPUTED_VALUE"""),2324850.4545454546)</f>
        <v>2324850.455</v>
      </c>
      <c r="G98" s="46">
        <f>IFERROR(__xludf.DUMMYFUNCTION("""COMPUTED_VALUE"""),2183116.7272727275)</f>
        <v>2183116.727</v>
      </c>
      <c r="H98" s="46"/>
      <c r="I98" s="46">
        <f>IFERROR(__xludf.DUMMYFUNCTION("""COMPUTED_VALUE"""),2295181.272727273)</f>
        <v>2295181.273</v>
      </c>
      <c r="J98" s="46">
        <f>IFERROR(__xludf.DUMMYFUNCTION("""COMPUTED_VALUE"""),2312503.8181818184)</f>
        <v>2312503.818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IFERROR(__xludf.DUMMYFUNCTION("""COMPUTED_VALUE"""),1.7165572727272727E7)</f>
        <v>17165572.73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/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IFERROR(__xludf.DUMMYFUNCTION("""COMPUTED_VALUE"""),9184304.90909091)</f>
        <v>9184304.909</v>
      </c>
      <c r="C100" s="44">
        <f>IFERROR(__xludf.DUMMYFUNCTION("""COMPUTED_VALUE"""),1.1197773545454545E7)</f>
        <v>11197773.55</v>
      </c>
      <c r="D100" s="44">
        <f>IFERROR(__xludf.DUMMYFUNCTION("""COMPUTED_VALUE"""),7800607.18181818)</f>
        <v>7800607.182</v>
      </c>
      <c r="E100" s="44">
        <f>IFERROR(__xludf.DUMMYFUNCTION("""COMPUTED_VALUE"""),8798610.90909091)</f>
        <v>8798610.909</v>
      </c>
      <c r="F100" s="44">
        <f>IFERROR(__xludf.DUMMYFUNCTION("""COMPUTED_VALUE"""),1.3954013545454547E7)</f>
        <v>13954013.55</v>
      </c>
      <c r="G100" s="44">
        <f>IFERROR(__xludf.DUMMYFUNCTION("""COMPUTED_VALUE"""),1.2360006272727273E7)</f>
        <v>12360006.27</v>
      </c>
      <c r="H100" s="24"/>
      <c r="I100" s="44">
        <f>IFERROR(__xludf.DUMMYFUNCTION("""COMPUTED_VALUE"""),1.3140572727272727E7)</f>
        <v>13140572.73</v>
      </c>
      <c r="J100" s="44">
        <f>IFERROR(__xludf.DUMMYFUNCTION("""COMPUTED_VALUE"""),1.334166918181818E7)</f>
        <v>13341669.18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IFERROR(__xludf.DUMMYFUNCTION("""COMPUTED_VALUE"""),8.977755827272728E7)</f>
        <v>89777558.27</v>
      </c>
      <c r="P100" s="45">
        <f>IFERROR(__xludf.DUMMYFUNCTION("""COMPUTED_VALUE"""),0.20529077263657985)</f>
        <v>0.2052907726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IFERROR(__xludf.DUMMYFUNCTION("""COMPUTED_VALUE"""),0.0)</f>
        <v>0</v>
      </c>
      <c r="F101" s="46">
        <f>IFERROR(__xludf.DUMMYFUNCTION("""COMPUTED_VALUE"""),0.0)</f>
        <v>0</v>
      </c>
      <c r="G101" s="46">
        <f>IFERROR(__xludf.DUMMYFUNCTION("""COMPUTED_VALUE"""),0.0)</f>
        <v>0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IFERROR(__xludf.DUMMYFUNCTION("""COMPUTED_VALUE"""),0.0)</f>
        <v>0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68">
        <f>IFERROR(__xludf.DUMMYFUNCTION("""COMPUTED_VALUE"""),0.0)</f>
        <v>0</v>
      </c>
      <c r="C102" s="68"/>
      <c r="D102" s="68">
        <f>IFERROR(__xludf.DUMMYFUNCTION("""COMPUTED_VALUE"""),0.0)</f>
        <v>0</v>
      </c>
      <c r="E102" s="68">
        <f>IFERROR(__xludf.DUMMYFUNCTION("""COMPUTED_VALUE"""),0.0)</f>
        <v>0</v>
      </c>
      <c r="F102" s="68">
        <f>IFERROR(__xludf.DUMMYFUNCTION("""COMPUTED_VALUE"""),0.0)</f>
        <v>0</v>
      </c>
      <c r="G102" s="68">
        <f>IFERROR(__xludf.DUMMYFUNCTION("""COMPUTED_VALUE"""),0.0)</f>
        <v>0</v>
      </c>
      <c r="H102" s="24"/>
      <c r="I102" s="68">
        <f>IFERROR(__xludf.DUMMYFUNCTION("""COMPUTED_VALUE"""),0.0)</f>
        <v>0</v>
      </c>
      <c r="J102" s="68">
        <f>IFERROR(__xludf.DUMMYFUNCTION("""COMPUTED_VALUE"""),0.0)</f>
        <v>0</v>
      </c>
      <c r="K102" s="68"/>
      <c r="L102" s="68"/>
      <c r="M102" s="68"/>
      <c r="N102" s="68"/>
      <c r="O102" s="52">
        <f>IFERROR(__xludf.DUMMYFUNCTION("""COMPUTED_VALUE"""),0.0)</f>
        <v>0</v>
      </c>
      <c r="P102" s="53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68"/>
      <c r="D103" s="68"/>
      <c r="E103" s="68"/>
      <c r="F103" s="68"/>
      <c r="G103" s="68"/>
      <c r="H103" s="24"/>
      <c r="I103" s="68"/>
      <c r="J103" s="68"/>
      <c r="K103" s="68"/>
      <c r="L103" s="68"/>
      <c r="M103" s="68"/>
      <c r="N103" s="68"/>
      <c r="O103" s="52">
        <f>IFERROR(__xludf.DUMMYFUNCTION("""COMPUTED_VALUE"""),0.0)</f>
        <v>0</v>
      </c>
      <c r="P103" s="53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68"/>
      <c r="D104" s="68"/>
      <c r="E104" s="68"/>
      <c r="F104" s="68"/>
      <c r="G104" s="68"/>
      <c r="H104" s="24"/>
      <c r="I104" s="68"/>
      <c r="J104" s="68"/>
      <c r="K104" s="68"/>
      <c r="L104" s="68"/>
      <c r="M104" s="68"/>
      <c r="N104" s="68"/>
      <c r="O104" s="52">
        <f>IFERROR(__xludf.DUMMYFUNCTION("""COMPUTED_VALUE"""),0.0)</f>
        <v>0</v>
      </c>
      <c r="P104" s="53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46">
        <f>IFERROR(__xludf.DUMMYFUNCTION("""COMPUTED_VALUE"""),0.0)</f>
        <v>0</v>
      </c>
      <c r="D105" s="46">
        <f>IFERROR(__xludf.DUMMYFUNCTION("""COMPUTED_VALUE"""),0.0)</f>
        <v>0</v>
      </c>
      <c r="E105" s="46">
        <f>IFERROR(__xludf.DUMMYFUNCTION("""COMPUTED_VALUE"""),0.0)</f>
        <v>0</v>
      </c>
      <c r="F105" s="46">
        <f>IFERROR(__xludf.DUMMYFUNCTION("""COMPUTED_VALUE"""),0.0)</f>
        <v>0</v>
      </c>
      <c r="G105" s="46">
        <f>IFERROR(__xludf.DUMMYFUNCTION("""COMPUTED_VALUE"""),0.0)</f>
        <v>0</v>
      </c>
      <c r="H105" s="24"/>
      <c r="I105" s="46">
        <f>IFERROR(__xludf.DUMMYFUNCTION("""COMPUTED_VALUE"""),0.0)</f>
        <v>0</v>
      </c>
      <c r="J105" s="46">
        <f>IFERROR(__xludf.DUMMYFUNCTION("""COMPUTED_VALUE"""),0.0)</f>
        <v>0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IFERROR(__xludf.DUMMYFUNCTION("""COMPUTED_VALUE"""),0.0)</f>
        <v>0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68"/>
      <c r="D106" s="68"/>
      <c r="E106" s="68"/>
      <c r="F106" s="68"/>
      <c r="G106" s="68"/>
      <c r="H106" s="24"/>
      <c r="I106" s="68"/>
      <c r="J106" s="68">
        <f>IFERROR(__xludf.DUMMYFUNCTION("""COMPUTED_VALUE"""),0.0)</f>
        <v>0</v>
      </c>
      <c r="K106" s="68"/>
      <c r="L106" s="68"/>
      <c r="M106" s="68"/>
      <c r="N106" s="68"/>
      <c r="O106" s="52">
        <f>IFERROR(__xludf.DUMMYFUNCTION("""COMPUTED_VALUE"""),0.0)</f>
        <v>0</v>
      </c>
      <c r="P106" s="53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68"/>
      <c r="D107" s="68"/>
      <c r="E107" s="68"/>
      <c r="F107" s="68"/>
      <c r="G107" s="68"/>
      <c r="H107" s="24"/>
      <c r="I107" s="68"/>
      <c r="J107" s="68">
        <f>IFERROR(__xludf.DUMMYFUNCTION("""COMPUTED_VALUE"""),0.0)</f>
        <v>0</v>
      </c>
      <c r="K107" s="68"/>
      <c r="L107" s="68"/>
      <c r="M107" s="68"/>
      <c r="N107" s="68"/>
      <c r="O107" s="52">
        <f>IFERROR(__xludf.DUMMYFUNCTION("""COMPUTED_VALUE"""),0.0)</f>
        <v>0</v>
      </c>
      <c r="P107" s="53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IFERROR(__xludf.DUMMYFUNCTION("""COMPUTED_VALUE"""),9184304.90909091)</f>
        <v>9184304.909</v>
      </c>
      <c r="C108" s="44">
        <f>IFERROR(__xludf.DUMMYFUNCTION("""COMPUTED_VALUE"""),1.1197773545454545E7)</f>
        <v>11197773.55</v>
      </c>
      <c r="D108" s="44">
        <f>IFERROR(__xludf.DUMMYFUNCTION("""COMPUTED_VALUE"""),7800607.18181818)</f>
        <v>7800607.182</v>
      </c>
      <c r="E108" s="44">
        <f>IFERROR(__xludf.DUMMYFUNCTION("""COMPUTED_VALUE"""),8798610.90909091)</f>
        <v>8798610.909</v>
      </c>
      <c r="F108" s="44">
        <f>IFERROR(__xludf.DUMMYFUNCTION("""COMPUTED_VALUE"""),1.3954013545454547E7)</f>
        <v>13954013.55</v>
      </c>
      <c r="G108" s="44">
        <f>IFERROR(__xludf.DUMMYFUNCTION("""COMPUTED_VALUE"""),1.2360006272727273E7)</f>
        <v>12360006.27</v>
      </c>
      <c r="H108" s="24"/>
      <c r="I108" s="44">
        <f>IFERROR(__xludf.DUMMYFUNCTION("""COMPUTED_VALUE"""),1.3140572727272727E7)</f>
        <v>13140572.73</v>
      </c>
      <c r="J108" s="44">
        <f>IFERROR(__xludf.DUMMYFUNCTION("""COMPUTED_VALUE"""),1.334166918181818E7)</f>
        <v>13341669.18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IFERROR(__xludf.DUMMYFUNCTION("""COMPUTED_VALUE"""),8.977755827272728E7)</f>
        <v>89777558.27</v>
      </c>
      <c r="P108" s="45">
        <f>IFERROR(__xludf.DUMMYFUNCTION("""COMPUTED_VALUE"""),0.20529077263657985)</f>
        <v>0.2052907726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IFERROR(__xludf.DUMMYFUNCTION("""COMPUTED_VALUE"""),3673721.9636363643)</f>
        <v>3673721.964</v>
      </c>
      <c r="C109" s="46">
        <f>IFERROR(__xludf.DUMMYFUNCTION("""COMPUTED_VALUE"""),4479109.418181818)</f>
        <v>4479109.418</v>
      </c>
      <c r="D109" s="46">
        <f>IFERROR(__xludf.DUMMYFUNCTION("""COMPUTED_VALUE"""),3120242.872727272)</f>
        <v>3120242.873</v>
      </c>
      <c r="E109" s="46">
        <f>IFERROR(__xludf.DUMMYFUNCTION("""COMPUTED_VALUE"""),3519444.363636364)</f>
        <v>3519444.364</v>
      </c>
      <c r="F109" s="46">
        <f>IFERROR(__xludf.DUMMYFUNCTION("""COMPUTED_VALUE"""),5581605.418181819)</f>
        <v>5581605.418</v>
      </c>
      <c r="G109" s="46">
        <f>IFERROR(__xludf.DUMMYFUNCTION("""COMPUTED_VALUE"""),4944002.50909091)</f>
        <v>4944002.509</v>
      </c>
      <c r="H109" s="24"/>
      <c r="I109" s="46">
        <f>IFERROR(__xludf.DUMMYFUNCTION("""COMPUTED_VALUE"""),5256229.090909091)</f>
        <v>5256229.091</v>
      </c>
      <c r="J109" s="46">
        <f>IFERROR(__xludf.DUMMYFUNCTION("""COMPUTED_VALUE"""),5336667.672727272)</f>
        <v>5336667.673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IFERROR(__xludf.DUMMYFUNCTION("""COMPUTED_VALUE"""),3.591102330909091E7)</f>
        <v>35911023.31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IFERROR(__xludf.DUMMYFUNCTION("""COMPUTED_VALUE"""),5510582.945454545)</f>
        <v>5510582.945</v>
      </c>
      <c r="C110" s="44">
        <f>IFERROR(__xludf.DUMMYFUNCTION("""COMPUTED_VALUE"""),6718664.127272727)</f>
        <v>6718664.127</v>
      </c>
      <c r="D110" s="44">
        <f>IFERROR(__xludf.DUMMYFUNCTION("""COMPUTED_VALUE"""),4680364.309090908)</f>
        <v>4680364.309</v>
      </c>
      <c r="E110" s="44">
        <f>IFERROR(__xludf.DUMMYFUNCTION("""COMPUTED_VALUE"""),5279166.545454546)</f>
        <v>5279166.545</v>
      </c>
      <c r="F110" s="44">
        <f>IFERROR(__xludf.DUMMYFUNCTION("""COMPUTED_VALUE"""),8372408.127272728)</f>
        <v>8372408.127</v>
      </c>
      <c r="G110" s="44">
        <f>IFERROR(__xludf.DUMMYFUNCTION("""COMPUTED_VALUE"""),7416003.763636364)</f>
        <v>7416003.764</v>
      </c>
      <c r="H110" s="24"/>
      <c r="I110" s="44">
        <f>IFERROR(__xludf.DUMMYFUNCTION("""COMPUTED_VALUE"""),7884343.636363636)</f>
        <v>7884343.636</v>
      </c>
      <c r="J110" s="44">
        <f>IFERROR(__xludf.DUMMYFUNCTION("""COMPUTED_VALUE"""),8005001.509090908)</f>
        <v>8005001.509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IFERROR(__xludf.DUMMYFUNCTION("""COMPUTED_VALUE"""),5.386653496363637E7)</f>
        <v>53866534.96</v>
      </c>
      <c r="P110" s="45">
        <f>IFERROR(__xludf.DUMMYFUNCTION("""COMPUTED_VALUE"""),0.1231744635819479)</f>
        <v>0.1231744636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IFERROR(__xludf.DUMMYFUNCTION("""COMPUTED_VALUE"""),1020478.3232323234)</f>
        <v>1020478.323</v>
      </c>
      <c r="C112" s="44">
        <f>IFERROR(__xludf.DUMMYFUNCTION("""COMPUTED_VALUE"""),1119777.3545454545)</f>
        <v>1119777.355</v>
      </c>
      <c r="D112" s="44">
        <f>IFERROR(__xludf.DUMMYFUNCTION("""COMPUTED_VALUE"""),780060.718181818)</f>
        <v>780060.7182</v>
      </c>
      <c r="E112" s="44">
        <f>IFERROR(__xludf.DUMMYFUNCTION("""COMPUTED_VALUE"""),879861.090909091)</f>
        <v>879861.0909</v>
      </c>
      <c r="F112" s="44">
        <f>IFERROR(__xludf.DUMMYFUNCTION("""COMPUTED_VALUE"""),1550445.9494949495)</f>
        <v>1550445.949</v>
      </c>
      <c r="G112" s="44">
        <f>IFERROR(__xludf.DUMMYFUNCTION("""COMPUTED_VALUE"""),1373334.0303030303)</f>
        <v>1373334.03</v>
      </c>
      <c r="H112" s="24"/>
      <c r="I112" s="44">
        <f>IFERROR(__xludf.DUMMYFUNCTION("""COMPUTED_VALUE"""),1460063.6363636362)</f>
        <v>1460063.636</v>
      </c>
      <c r="J112" s="44">
        <f>IFERROR(__xludf.DUMMYFUNCTION("""COMPUTED_VALUE"""),1667708.6477272725)</f>
        <v>1667708.648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IFERROR(__xludf.DUMMYFUNCTION("""COMPUTED_VALUE"""),1213210.246928747)</f>
        <v>1213210.247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IFERROR(__xludf.DUMMYFUNCTION("""COMPUTED_VALUE"""),9.0)</f>
        <v>9</v>
      </c>
      <c r="C113" s="71">
        <f>IFERROR(__xludf.DUMMYFUNCTION("""COMPUTED_VALUE"""),10.0)</f>
        <v>10</v>
      </c>
      <c r="D113" s="71">
        <f>IFERROR(__xludf.DUMMYFUNCTION("""COMPUTED_VALUE"""),10.0)</f>
        <v>10</v>
      </c>
      <c r="E113" s="71">
        <f>IFERROR(__xludf.DUMMYFUNCTION("""COMPUTED_VALUE"""),10.0)</f>
        <v>10</v>
      </c>
      <c r="F113" s="71">
        <f>IFERROR(__xludf.DUMMYFUNCTION("""COMPUTED_VALUE"""),9.0)</f>
        <v>9</v>
      </c>
      <c r="G113" s="71">
        <f>IFERROR(__xludf.DUMMYFUNCTION("""COMPUTED_VALUE"""),9.0)</f>
        <v>9</v>
      </c>
      <c r="H113" s="29"/>
      <c r="I113" s="71">
        <f>IFERROR(__xludf.DUMMYFUNCTION("""COMPUTED_VALUE"""),9.0)</f>
        <v>9</v>
      </c>
      <c r="J113" s="71">
        <f>IFERROR(__xludf.DUMMYFUNCTION("""COMPUTED_VALUE"""),8.0)</f>
        <v>8</v>
      </c>
      <c r="K113" s="71"/>
      <c r="L113" s="71"/>
      <c r="M113" s="71"/>
      <c r="N113" s="71"/>
      <c r="O113" s="50">
        <f>IFERROR(__xludf.DUMMYFUNCTION("""COMPUTED_VALUE"""),74.0)</f>
        <v>74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IFERROR(__xludf.DUMMYFUNCTION("""COMPUTED_VALUE"""),9.0)</f>
        <v>9</v>
      </c>
      <c r="C114" s="71">
        <f>IFERROR(__xludf.DUMMYFUNCTION("""COMPUTED_VALUE"""),9.0)</f>
        <v>9</v>
      </c>
      <c r="D114" s="71">
        <f>IFERROR(__xludf.DUMMYFUNCTION("""COMPUTED_VALUE"""),9.0)</f>
        <v>9</v>
      </c>
      <c r="E114" s="71">
        <f>IFERROR(__xludf.DUMMYFUNCTION("""COMPUTED_VALUE"""),9.0)</f>
        <v>9</v>
      </c>
      <c r="F114" s="71">
        <f>IFERROR(__xludf.DUMMYFUNCTION("""COMPUTED_VALUE"""),9.0)</f>
        <v>9</v>
      </c>
      <c r="G114" s="71">
        <f>IFERROR(__xludf.DUMMYFUNCTION("""COMPUTED_VALUE"""),10.0)</f>
        <v>10</v>
      </c>
      <c r="H114" s="29"/>
      <c r="I114" s="71">
        <f>IFERROR(__xludf.DUMMYFUNCTION("""COMPUTED_VALUE"""),10.0)</f>
        <v>10</v>
      </c>
      <c r="J114" s="71">
        <f>IFERROR(__xludf.DUMMYFUNCTION("""COMPUTED_VALUE"""),12.0)</f>
        <v>12</v>
      </c>
      <c r="K114" s="71"/>
      <c r="L114" s="71"/>
      <c r="M114" s="71"/>
      <c r="N114" s="71"/>
      <c r="O114" s="50">
        <f>IFERROR(__xludf.DUMMYFUNCTION("""COMPUTED_VALUE"""),77.0)</f>
        <v>77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IFERROR(__xludf.DUMMYFUNCTION("""COMPUTED_VALUE"""),-1514333.7444717437)</f>
        <v>-1514333.744</v>
      </c>
      <c r="C116" s="44">
        <f>IFERROR(__xludf.DUMMYFUNCTION("""COMPUTED_VALUE"""),390444.255335968)</f>
        <v>390444.2553</v>
      </c>
      <c r="D116" s="44">
        <f>IFERROR(__xludf.DUMMYFUNCTION("""COMPUTED_VALUE"""),-581422.9351778664)</f>
        <v>-581422.9352</v>
      </c>
      <c r="E116" s="44">
        <f>IFERROR(__xludf.DUMMYFUNCTION("""COMPUTED_VALUE"""),964505.7402597424)</f>
        <v>964505.7403</v>
      </c>
      <c r="F116" s="44">
        <f>IFERROR(__xludf.DUMMYFUNCTION("""COMPUTED_VALUE"""),2884172.7138339914)</f>
        <v>2884172.714</v>
      </c>
      <c r="G116" s="44">
        <f>IFERROR(__xludf.DUMMYFUNCTION("""COMPUTED_VALUE"""),4517926.967914441)</f>
        <v>4517926.968</v>
      </c>
      <c r="H116" s="24"/>
      <c r="I116" s="44">
        <f>IFERROR(__xludf.DUMMYFUNCTION("""COMPUTED_VALUE"""),4157140.3728036676)</f>
        <v>4157140.373</v>
      </c>
      <c r="J116" s="44">
        <f>IFERROR(__xludf.DUMMYFUNCTION("""COMPUTED_VALUE"""),4566920.481592784)</f>
        <v>4566920.482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IFERROR(__xludf.DUMMYFUNCTION("""COMPUTED_VALUE"""),1.5385353852090985E7)</f>
        <v>15385353.85</v>
      </c>
      <c r="P116" s="45">
        <f>IFERROR(__xludf.DUMMYFUNCTION("""COMPUTED_VALUE"""),0.03518107687879079)</f>
        <v>0.03518107688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IFERROR(__xludf.DUMMYFUNCTION("""COMPUTED_VALUE"""),-1514333.7444717437)</f>
        <v>-1514333.744</v>
      </c>
      <c r="C117" s="46">
        <f>IFERROR(__xludf.DUMMYFUNCTION("""COMPUTED_VALUE"""),390444.255335968)</f>
        <v>390444.2553</v>
      </c>
      <c r="D117" s="46">
        <f>IFERROR(__xludf.DUMMYFUNCTION("""COMPUTED_VALUE"""),-581422.9351778664)</f>
        <v>-581422.9352</v>
      </c>
      <c r="E117" s="46">
        <f>IFERROR(__xludf.DUMMYFUNCTION("""COMPUTED_VALUE"""),964505.7402597424)</f>
        <v>964505.7403</v>
      </c>
      <c r="F117" s="46">
        <f>IFERROR(__xludf.DUMMYFUNCTION("""COMPUTED_VALUE"""),2884172.7138339914)</f>
        <v>2884172.714</v>
      </c>
      <c r="G117" s="46">
        <f>IFERROR(__xludf.DUMMYFUNCTION("""COMPUTED_VALUE"""),4517926.967914441)</f>
        <v>4517926.968</v>
      </c>
      <c r="H117" s="24"/>
      <c r="I117" s="46">
        <f>IFERROR(__xludf.DUMMYFUNCTION("""COMPUTED_VALUE"""),4157140.3728036676)</f>
        <v>4157140.373</v>
      </c>
      <c r="J117" s="46">
        <f>IFERROR(__xludf.DUMMYFUNCTION("""COMPUTED_VALUE"""),4566920.481592784)</f>
        <v>4566920.482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IFERROR(__xludf.DUMMYFUNCTION("""COMPUTED_VALUE"""),1.5385353852090985E7)</f>
        <v>15385353.85</v>
      </c>
      <c r="P117" s="59">
        <f>IFERROR(__xludf.DUMMYFUNCTION("""COMPUTED_VALUE"""),0.03518107687879079)</f>
        <v>0.03518107688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IFERROR(__xludf.DUMMYFUNCTION("""COMPUTED_VALUE"""),18.0)</f>
        <v>18</v>
      </c>
      <c r="C118" s="58">
        <f>IFERROR(__xludf.DUMMYFUNCTION("""COMPUTED_VALUE"""),19.0)</f>
        <v>19</v>
      </c>
      <c r="D118" s="58">
        <f>IFERROR(__xludf.DUMMYFUNCTION("""COMPUTED_VALUE"""),19.0)</f>
        <v>19</v>
      </c>
      <c r="E118" s="58">
        <f>IFERROR(__xludf.DUMMYFUNCTION("""COMPUTED_VALUE"""),19.0)</f>
        <v>19</v>
      </c>
      <c r="F118" s="58">
        <f>IFERROR(__xludf.DUMMYFUNCTION("""COMPUTED_VALUE"""),18.0)</f>
        <v>18</v>
      </c>
      <c r="G118" s="58">
        <f>IFERROR(__xludf.DUMMYFUNCTION("""COMPUTED_VALUE"""),19.0)</f>
        <v>19</v>
      </c>
      <c r="H118" s="29"/>
      <c r="I118" s="58">
        <f>IFERROR(__xludf.DUMMYFUNCTION("""COMPUTED_VALUE"""),19.0)</f>
        <v>19</v>
      </c>
      <c r="J118" s="58">
        <f>IFERROR(__xludf.DUMMYFUNCTION("""COMPUTED_VALUE"""),20.0)</f>
        <v>20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IFERROR(__xludf.DUMMYFUNCTION("""COMPUTED_VALUE"""),151.0)</f>
        <v>151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IFERROR(__xludf.DUMMYFUNCTION("""COMPUTED_VALUE"""),0.32432432432432434)</f>
        <v>0.3243243243</v>
      </c>
      <c r="C119" s="49">
        <f>IFERROR(__xludf.DUMMYFUNCTION("""COMPUTED_VALUE"""),0.33043478260869563)</f>
        <v>0.3304347826</v>
      </c>
      <c r="D119" s="49">
        <f>IFERROR(__xludf.DUMMYFUNCTION("""COMPUTED_VALUE"""),0.33043478260869563)</f>
        <v>0.3304347826</v>
      </c>
      <c r="E119" s="49">
        <f>IFERROR(__xludf.DUMMYFUNCTION("""COMPUTED_VALUE"""),0.31932773109243695)</f>
        <v>0.3193277311</v>
      </c>
      <c r="F119" s="49">
        <f>IFERROR(__xludf.DUMMYFUNCTION("""COMPUTED_VALUE"""),0.3130434782608696)</f>
        <v>0.3130434783</v>
      </c>
      <c r="G119" s="49">
        <f>IFERROR(__xludf.DUMMYFUNCTION("""COMPUTED_VALUE"""),0.31932773109243695)</f>
        <v>0.3193277311</v>
      </c>
      <c r="H119" s="24"/>
      <c r="I119" s="49">
        <f>IFERROR(__xludf.DUMMYFUNCTION("""COMPUTED_VALUE"""),0.31932773109243695)</f>
        <v>0.3193277311</v>
      </c>
      <c r="J119" s="49">
        <f>IFERROR(__xludf.DUMMYFUNCTION("""COMPUTED_VALUE"""),0.3305785123966942)</f>
        <v>0.3305785124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IFERROR(__xludf.DUMMYFUNCTION("""COMPUTED_VALUE"""),0.3233404710920771)</f>
        <v>0.3233404711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IFERROR(__xludf.DUMMYFUNCTION("""COMPUTED_VALUE"""),1.0698638653562654E7)</f>
        <v>10698638.65</v>
      </c>
      <c r="C120" s="46">
        <f>IFERROR(__xludf.DUMMYFUNCTION("""COMPUTED_VALUE"""),1.0807329290118577E7)</f>
        <v>10807329.29</v>
      </c>
      <c r="D120" s="46">
        <f>IFERROR(__xludf.DUMMYFUNCTION("""COMPUTED_VALUE"""),8382030.116996046)</f>
        <v>8382030.117</v>
      </c>
      <c r="E120" s="46">
        <f>IFERROR(__xludf.DUMMYFUNCTION("""COMPUTED_VALUE"""),7834105.168831168)</f>
        <v>7834105.169</v>
      </c>
      <c r="F120" s="46">
        <f>IFERROR(__xludf.DUMMYFUNCTION("""COMPUTED_VALUE"""),1.1069840831620555E7)</f>
        <v>11069840.83</v>
      </c>
      <c r="G120" s="46">
        <f>IFERROR(__xludf.DUMMYFUNCTION("""COMPUTED_VALUE"""),7842079.304812833)</f>
        <v>7842079.305</v>
      </c>
      <c r="H120" s="46"/>
      <c r="I120" s="46">
        <f>IFERROR(__xludf.DUMMYFUNCTION("""COMPUTED_VALUE"""),8983432.354469059)</f>
        <v>8983432.354</v>
      </c>
      <c r="J120" s="46">
        <f>IFERROR(__xludf.DUMMYFUNCTION("""COMPUTED_VALUE"""),8774748.700225396)</f>
        <v>8774748.7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IFERROR(__xludf.DUMMYFUNCTION("""COMPUTED_VALUE"""),7.43922044206363E7)</f>
        <v>74392204.42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IFERROR(__xludf.DUMMYFUNCTION("""COMPUTED_VALUE"""),6041251.0)</f>
        <v>6041251</v>
      </c>
      <c r="C122" s="46">
        <f>IFERROR(__xludf.DUMMYFUNCTION("""COMPUTED_VALUE"""),4768384.0)</f>
        <v>4768384</v>
      </c>
      <c r="D122" s="46">
        <f>IFERROR(__xludf.DUMMYFUNCTION("""COMPUTED_VALUE"""),5711307.0)</f>
        <v>5711307</v>
      </c>
      <c r="E122" s="46">
        <f>IFERROR(__xludf.DUMMYFUNCTION("""COMPUTED_VALUE"""),9773649.0)</f>
        <v>9773649</v>
      </c>
      <c r="F122" s="46">
        <f>IFERROR(__xludf.DUMMYFUNCTION("""COMPUTED_VALUE"""),5407130.0)</f>
        <v>5407130</v>
      </c>
      <c r="G122" s="46">
        <f>IFERROR(__xludf.DUMMYFUNCTION("""COMPUTED_VALUE"""),6836496.0)</f>
        <v>6836496</v>
      </c>
      <c r="H122" s="24"/>
      <c r="I122" s="46">
        <f>IFERROR(__xludf.DUMMYFUNCTION("""COMPUTED_VALUE"""),7146825.0)</f>
        <v>7146825</v>
      </c>
      <c r="J122" s="46">
        <f>IFERROR(__xludf.DUMMYFUNCTION("""COMPUTED_VALUE"""),6478130.0)</f>
        <v>6478130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IFERROR(__xludf.DUMMYFUNCTION("IMPORTRANGE(""https://docs.google.com/spreadsheets/d/1SlHuJEDBJ4Gy3WXeRPN-U9OYonTEM2Yhh4rIuiFr5bQ/edit#gid=256474166"",""講師!A:S"")"),"2022年度")</f>
        <v>2022年度</v>
      </c>
      <c r="B1" s="38">
        <f>IFERROR(__xludf.DUMMYFUNCTION("""COMPUTED_VALUE"""),4.0)</f>
        <v>4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IFERROR(__xludf.DUMMYFUNCTION("""COMPUTED_VALUE"""),"講師求人")</f>
        <v>講師求人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IFERROR(__xludf.DUMMYFUNCTION("""COMPUTED_VALUE"""),5.640184E7)</f>
        <v>56401840</v>
      </c>
      <c r="C3" s="44">
        <f>IFERROR(__xludf.DUMMYFUNCTION("""COMPUTED_VALUE"""),8.81364E7)</f>
        <v>88136400</v>
      </c>
      <c r="D3" s="44">
        <f>IFERROR(__xludf.DUMMYFUNCTION("""COMPUTED_VALUE"""),7.56657E7)</f>
        <v>75665700</v>
      </c>
      <c r="E3" s="44">
        <f>IFERROR(__xludf.DUMMYFUNCTION("""COMPUTED_VALUE"""),6.5571135E7)</f>
        <v>65571135</v>
      </c>
      <c r="F3" s="44">
        <f>IFERROR(__xludf.DUMMYFUNCTION("""COMPUTED_VALUE"""),4.9569876E7)</f>
        <v>49569876</v>
      </c>
      <c r="G3" s="44">
        <f>IFERROR(__xludf.DUMMYFUNCTION("""COMPUTED_VALUE"""),4.1359749E7)</f>
        <v>41359749</v>
      </c>
      <c r="H3" s="24"/>
      <c r="I3" s="44">
        <f>IFERROR(__xludf.DUMMYFUNCTION("""COMPUTED_VALUE"""),4.54443E7)</f>
        <v>45444300</v>
      </c>
      <c r="J3" s="44">
        <f>IFERROR(__xludf.DUMMYFUNCTION("""COMPUTED_VALUE"""),3.9849205E7)</f>
        <v>39849205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IFERROR(__xludf.DUMMYFUNCTION("""COMPUTED_VALUE"""),4.61998205E8)</f>
        <v>461998205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72">
        <f>IFERROR(__xludf.DUMMYFUNCTION("""COMPUTED_VALUE"""),5.640184E7)</f>
        <v>56401840</v>
      </c>
      <c r="C7" s="62">
        <f>IFERROR(__xludf.DUMMYFUNCTION("""COMPUTED_VALUE"""),8.81364E7)</f>
        <v>88136400</v>
      </c>
      <c r="D7" s="62">
        <f>IFERROR(__xludf.DUMMYFUNCTION("""COMPUTED_VALUE"""),7.56657E7)</f>
        <v>75665700</v>
      </c>
      <c r="E7" s="62">
        <f>IFERROR(__xludf.DUMMYFUNCTION("""COMPUTED_VALUE"""),6.5571135E7)</f>
        <v>65571135</v>
      </c>
      <c r="F7" s="62">
        <f>IFERROR(__xludf.DUMMYFUNCTION("""COMPUTED_VALUE"""),4.9569876E7)</f>
        <v>49569876</v>
      </c>
      <c r="G7" s="62">
        <f>IFERROR(__xludf.DUMMYFUNCTION("""COMPUTED_VALUE"""),4.1359749E7)</f>
        <v>41359749</v>
      </c>
      <c r="H7" s="24"/>
      <c r="I7" s="62">
        <f>IFERROR(__xludf.DUMMYFUNCTION("""COMPUTED_VALUE"""),4.54443E7)</f>
        <v>45444300</v>
      </c>
      <c r="J7" s="62">
        <f>IFERROR(__xludf.DUMMYFUNCTION("""COMPUTED_VALUE"""),3.9849205E7)</f>
        <v>39849205</v>
      </c>
      <c r="K7" s="62"/>
      <c r="L7" s="62"/>
      <c r="M7" s="62"/>
      <c r="N7" s="62"/>
      <c r="O7" s="46">
        <f>IFERROR(__xludf.DUMMYFUNCTION("""COMPUTED_VALUE"""),4.61998205E8)</f>
        <v>461998205</v>
      </c>
      <c r="P7" s="47">
        <f>IFERROR(__xludf.DUMMYFUNCTION("""COMPUTED_VALUE"""),1.0)</f>
        <v>1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>
        <f>IFERROR(__xludf.DUMMYFUNCTION("""COMPUTED_VALUE"""),0.0)</f>
        <v>0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IFERROR(__xludf.DUMMYFUNCTION("""COMPUTED_VALUE"""),5.640184E7)</f>
        <v>56401840</v>
      </c>
      <c r="C29" s="44">
        <f>IFERROR(__xludf.DUMMYFUNCTION("""COMPUTED_VALUE"""),8.81364E7)</f>
        <v>88136400</v>
      </c>
      <c r="D29" s="44">
        <f>IFERROR(__xludf.DUMMYFUNCTION("""COMPUTED_VALUE"""),7.56657E7)</f>
        <v>75665700</v>
      </c>
      <c r="E29" s="44">
        <f>IFERROR(__xludf.DUMMYFUNCTION("""COMPUTED_VALUE"""),6.5571135E7)</f>
        <v>65571135</v>
      </c>
      <c r="F29" s="44">
        <f>IFERROR(__xludf.DUMMYFUNCTION("""COMPUTED_VALUE"""),4.9569876E7)</f>
        <v>49569876</v>
      </c>
      <c r="G29" s="44">
        <f>IFERROR(__xludf.DUMMYFUNCTION("""COMPUTED_VALUE"""),4.1359749E7)</f>
        <v>41359749</v>
      </c>
      <c r="H29" s="24"/>
      <c r="I29" s="44">
        <f>IFERROR(__xludf.DUMMYFUNCTION("""COMPUTED_VALUE"""),4.54443E7)</f>
        <v>45444300</v>
      </c>
      <c r="J29" s="44">
        <f>IFERROR(__xludf.DUMMYFUNCTION("""COMPUTED_VALUE"""),3.9849205E7)</f>
        <v>39849205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IFERROR(__xludf.DUMMYFUNCTION("""COMPUTED_VALUE"""),4.61998205E8)</f>
        <v>461998205</v>
      </c>
      <c r="P29" s="45">
        <f>IFERROR(__xludf.DUMMYFUNCTION("""COMPUTED_VALUE"""),1.0)</f>
        <v>1</v>
      </c>
      <c r="Q29" s="16"/>
    </row>
    <row r="30" ht="15.75" customHeight="1">
      <c r="A30" s="3" t="str">
        <f>IFERROR(__xludf.DUMMYFUNCTION("""COMPUTED_VALUE"""),"Tutor-PE")</f>
        <v>Tutor-PE</v>
      </c>
      <c r="B30" s="63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3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3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73">
        <f>IFERROR(__xludf.DUMMYFUNCTION("""COMPUTED_VALUE"""),5.640184E7)</f>
        <v>56401840</v>
      </c>
      <c r="C33" s="64">
        <f>IFERROR(__xludf.DUMMYFUNCTION("""COMPUTED_VALUE"""),8.81364E7)</f>
        <v>88136400</v>
      </c>
      <c r="D33" s="64">
        <f>IFERROR(__xludf.DUMMYFUNCTION("""COMPUTED_VALUE"""),7.56657E7)</f>
        <v>75665700</v>
      </c>
      <c r="E33" s="64">
        <f>IFERROR(__xludf.DUMMYFUNCTION("""COMPUTED_VALUE"""),6.5571135E7)</f>
        <v>65571135</v>
      </c>
      <c r="F33" s="64">
        <f>IFERROR(__xludf.DUMMYFUNCTION("""COMPUTED_VALUE"""),4.9569876E7)</f>
        <v>49569876</v>
      </c>
      <c r="G33" s="64">
        <f>IFERROR(__xludf.DUMMYFUNCTION("""COMPUTED_VALUE"""),4.1359749E7)</f>
        <v>41359749</v>
      </c>
      <c r="H33" s="64"/>
      <c r="I33" s="64">
        <f>IFERROR(__xludf.DUMMYFUNCTION("""COMPUTED_VALUE"""),4.54443E7)</f>
        <v>45444300</v>
      </c>
      <c r="J33" s="64">
        <f>IFERROR(__xludf.DUMMYFUNCTION("""COMPUTED_VALUE"""),3.9849205E7)</f>
        <v>39849205</v>
      </c>
      <c r="K33" s="64" t="str">
        <f>IFERROR(__xludf.DUMMYFUNCTION("""COMPUTED_VALUE"""),"")</f>
        <v/>
      </c>
      <c r="L33" s="64" t="str">
        <f>IFERROR(__xludf.DUMMYFUNCTION("""COMPUTED_VALUE"""),"")</f>
        <v/>
      </c>
      <c r="M33" s="64" t="str">
        <f>IFERROR(__xludf.DUMMYFUNCTION("""COMPUTED_VALUE"""),"")</f>
        <v/>
      </c>
      <c r="N33" s="64" t="str">
        <f>IFERROR(__xludf.DUMMYFUNCTION("""COMPUTED_VALUE"""),"")</f>
        <v/>
      </c>
      <c r="O33" s="46">
        <f>IFERROR(__xludf.DUMMYFUNCTION("""COMPUTED_VALUE"""),4.61998205E8)</f>
        <v>461998205</v>
      </c>
      <c r="P33" s="47">
        <f>IFERROR(__xludf.DUMMYFUNCTION("""COMPUTED_VALUE"""),1.0)</f>
        <v>1</v>
      </c>
      <c r="Q33" s="16"/>
    </row>
    <row r="34" ht="15.75" customHeight="1">
      <c r="A34" s="3" t="str">
        <f>IFERROR(__xludf.DUMMYFUNCTION("""COMPUTED_VALUE"""),"放課後支援")</f>
        <v>放課後支援</v>
      </c>
      <c r="B34" s="63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3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3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3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3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3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3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3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IFERROR(__xludf.DUMMYFUNCTION("""COMPUTED_VALUE"""),1.0)</f>
        <v>1</v>
      </c>
      <c r="C42" s="49">
        <f>IFERROR(__xludf.DUMMYFUNCTION("""COMPUTED_VALUE"""),1.0)</f>
        <v>1</v>
      </c>
      <c r="D42" s="49">
        <f>IFERROR(__xludf.DUMMYFUNCTION("""COMPUTED_VALUE"""),1.0)</f>
        <v>1</v>
      </c>
      <c r="E42" s="49">
        <f>IFERROR(__xludf.DUMMYFUNCTION("""COMPUTED_VALUE"""),1.0)</f>
        <v>1</v>
      </c>
      <c r="F42" s="49">
        <f>IFERROR(__xludf.DUMMYFUNCTION("""COMPUTED_VALUE"""),1.0)</f>
        <v>1</v>
      </c>
      <c r="G42" s="49">
        <f>IFERROR(__xludf.DUMMYFUNCTION("""COMPUTED_VALUE"""),1.0)</f>
        <v>1</v>
      </c>
      <c r="H42" s="16"/>
      <c r="I42" s="49">
        <f>IFERROR(__xludf.DUMMYFUNCTION("""COMPUTED_VALUE"""),1.0)</f>
        <v>1</v>
      </c>
      <c r="J42" s="49">
        <f>IFERROR(__xludf.DUMMYFUNCTION("""COMPUTED_VALUE"""),1.0)</f>
        <v>1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IFERROR(__xludf.DUMMYFUNCTION("""COMPUTED_VALUE"""),1.0)</f>
        <v>1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IFERROR(__xludf.DUMMYFUNCTION("""COMPUTED_VALUE"""),4.205011527272727E7)</f>
        <v>42050115.27</v>
      </c>
      <c r="C44" s="44">
        <f>IFERROR(__xludf.DUMMYFUNCTION("""COMPUTED_VALUE"""),3.961000872727273E7)</f>
        <v>39610008.73</v>
      </c>
      <c r="D44" s="44">
        <f>IFERROR(__xludf.DUMMYFUNCTION("""COMPUTED_VALUE"""),3.625821790909091E7)</f>
        <v>36258217.91</v>
      </c>
      <c r="E44" s="44">
        <f>IFERROR(__xludf.DUMMYFUNCTION("""COMPUTED_VALUE"""),3.2962514545454547E7)</f>
        <v>32962514.55</v>
      </c>
      <c r="F44" s="44">
        <f>IFERROR(__xludf.DUMMYFUNCTION("""COMPUTED_VALUE"""),2.777659509090909E7)</f>
        <v>27776595.09</v>
      </c>
      <c r="G44" s="44">
        <f>IFERROR(__xludf.DUMMYFUNCTION("""COMPUTED_VALUE"""),2.6019153272727273E7)</f>
        <v>26019153.27</v>
      </c>
      <c r="H44" s="16"/>
      <c r="I44" s="44">
        <f>IFERROR(__xludf.DUMMYFUNCTION("""COMPUTED_VALUE"""),2.6904304363636363E7)</f>
        <v>26904304.36</v>
      </c>
      <c r="J44" s="44">
        <f>IFERROR(__xludf.DUMMYFUNCTION("""COMPUTED_VALUE"""),2.2626422454545453E7)</f>
        <v>22626422.45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IFERROR(__xludf.DUMMYFUNCTION("""COMPUTED_VALUE"""),2.5420733163636363E8)</f>
        <v>254207331.6</v>
      </c>
      <c r="P44" s="45">
        <f>IFERROR(__xludf.DUMMYFUNCTION("""COMPUTED_VALUE"""),0.5502344573749234)</f>
        <v>0.5502344574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IFERROR(__xludf.DUMMYFUNCTION("""COMPUTED_VALUE"""),5057725.0)</f>
        <v>5057725</v>
      </c>
      <c r="C45" s="46">
        <f>IFERROR(__xludf.DUMMYFUNCTION("""COMPUTED_VALUE"""),3740350.0)</f>
        <v>3740350</v>
      </c>
      <c r="D45" s="46">
        <f>IFERROR(__xludf.DUMMYFUNCTION("""COMPUTED_VALUE"""),3713331.0)</f>
        <v>3713331</v>
      </c>
      <c r="E45" s="46">
        <f>IFERROR(__xludf.DUMMYFUNCTION("""COMPUTED_VALUE"""),4286134.0)</f>
        <v>4286134</v>
      </c>
      <c r="F45" s="46">
        <f>IFERROR(__xludf.DUMMYFUNCTION("""COMPUTED_VALUE"""),3794822.0)</f>
        <v>3794822</v>
      </c>
      <c r="G45" s="46">
        <f>IFERROR(__xludf.DUMMYFUNCTION("""COMPUTED_VALUE"""),3124045.0)</f>
        <v>3124045</v>
      </c>
      <c r="H45" s="46"/>
      <c r="I45" s="46">
        <f>IFERROR(__xludf.DUMMYFUNCTION("""COMPUTED_VALUE"""),3605127.0)</f>
        <v>3605127</v>
      </c>
      <c r="J45" s="46">
        <f>IFERROR(__xludf.DUMMYFUNCTION("""COMPUTED_VALUE"""),3634947.0)</f>
        <v>3634947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IFERROR(__xludf.DUMMYFUNCTION("""COMPUTED_VALUE"""),3.0956481E7)</f>
        <v>30956481</v>
      </c>
      <c r="P45" s="47">
        <f>IFERROR(__xludf.DUMMYFUNCTION("""COMPUTED_VALUE"""),0.12177650739154278)</f>
        <v>0.1217765074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IFERROR(__xludf.DUMMYFUNCTION("""COMPUTED_VALUE"""),38914.0)</f>
        <v>38914</v>
      </c>
      <c r="C46" s="68">
        <f>IFERROR(__xludf.DUMMYFUNCTION("""COMPUTED_VALUE"""),39828.0)</f>
        <v>39828</v>
      </c>
      <c r="D46" s="68">
        <f>IFERROR(__xludf.DUMMYFUNCTION("""COMPUTED_VALUE"""),41027.0)</f>
        <v>41027</v>
      </c>
      <c r="E46" s="68">
        <f>IFERROR(__xludf.DUMMYFUNCTION("""COMPUTED_VALUE"""),45097.0)</f>
        <v>45097</v>
      </c>
      <c r="F46" s="68">
        <f>IFERROR(__xludf.DUMMYFUNCTION("""COMPUTED_VALUE"""),42738.0)</f>
        <v>42738</v>
      </c>
      <c r="G46" s="68">
        <f>IFERROR(__xludf.DUMMYFUNCTION("""COMPUTED_VALUE"""),40536.0)</f>
        <v>40536</v>
      </c>
      <c r="H46" s="69"/>
      <c r="I46" s="68">
        <f>IFERROR(__xludf.DUMMYFUNCTION("""COMPUTED_VALUE"""),37957.0)</f>
        <v>37957</v>
      </c>
      <c r="J46" s="68">
        <f>IFERROR(__xludf.DUMMYFUNCTION("""COMPUTED_VALUE"""),38761.0)</f>
        <v>38761</v>
      </c>
      <c r="K46" s="68"/>
      <c r="L46" s="68"/>
      <c r="M46" s="68"/>
      <c r="N46" s="68"/>
      <c r="O46" s="52">
        <f>IFERROR(__xludf.DUMMYFUNCTION("""COMPUTED_VALUE"""),324858.0)</f>
        <v>324858</v>
      </c>
      <c r="P46" s="53">
        <f>IFERROR(__xludf.DUMMYFUNCTION("""COMPUTED_VALUE"""),0.010494022237217467)</f>
        <v>0.01049402224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IFERROR(__xludf.DUMMYFUNCTION("""COMPUTED_VALUE"""),0.0)</f>
        <v>0</v>
      </c>
      <c r="C47" s="68"/>
      <c r="D47" s="68">
        <f>IFERROR(__xludf.DUMMYFUNCTION("""COMPUTED_VALUE"""),1708.0)</f>
        <v>1708</v>
      </c>
      <c r="E47" s="68">
        <f>IFERROR(__xludf.DUMMYFUNCTION("""COMPUTED_VALUE"""),430.0)</f>
        <v>430</v>
      </c>
      <c r="F47" s="68">
        <f>IFERROR(__xludf.DUMMYFUNCTION("""COMPUTED_VALUE"""),252.0)</f>
        <v>252</v>
      </c>
      <c r="G47" s="68">
        <f>IFERROR(__xludf.DUMMYFUNCTION("""COMPUTED_VALUE"""),0.0)</f>
        <v>0</v>
      </c>
      <c r="H47" s="69"/>
      <c r="I47" s="68">
        <f>IFERROR(__xludf.DUMMYFUNCTION("""COMPUTED_VALUE"""),632.0)</f>
        <v>632</v>
      </c>
      <c r="J47" s="68">
        <f>IFERROR(__xludf.DUMMYFUNCTION("""COMPUTED_VALUE"""),168.0)</f>
        <v>168</v>
      </c>
      <c r="K47" s="68"/>
      <c r="L47" s="68"/>
      <c r="M47" s="68"/>
      <c r="N47" s="68"/>
      <c r="O47" s="52">
        <f>IFERROR(__xludf.DUMMYFUNCTION("""COMPUTED_VALUE"""),3190.0)</f>
        <v>3190</v>
      </c>
      <c r="P47" s="53">
        <f>IFERROR(__xludf.DUMMYFUNCTION("""COMPUTED_VALUE"""),1.0304788842116777E-4)</f>
        <v>0.0001030478884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IFERROR(__xludf.DUMMYFUNCTION("""COMPUTED_VALUE"""),5016611.0)</f>
        <v>5016611</v>
      </c>
      <c r="C48" s="68">
        <f>IFERROR(__xludf.DUMMYFUNCTION("""COMPUTED_VALUE"""),3662951.0)</f>
        <v>3662951</v>
      </c>
      <c r="D48" s="68">
        <f>IFERROR(__xludf.DUMMYFUNCTION("""COMPUTED_VALUE"""),3670596.0)</f>
        <v>3670596</v>
      </c>
      <c r="E48" s="68">
        <f>IFERROR(__xludf.DUMMYFUNCTION("""COMPUTED_VALUE"""),4240607.0)</f>
        <v>4240607</v>
      </c>
      <c r="F48" s="68">
        <f>IFERROR(__xludf.DUMMYFUNCTION("""COMPUTED_VALUE"""),3751832.0)</f>
        <v>3751832</v>
      </c>
      <c r="G48" s="68">
        <f>IFERROR(__xludf.DUMMYFUNCTION("""COMPUTED_VALUE"""),3083509.0)</f>
        <v>3083509</v>
      </c>
      <c r="H48" s="69"/>
      <c r="I48" s="68">
        <f>IFERROR(__xludf.DUMMYFUNCTION("""COMPUTED_VALUE"""),3566538.0)</f>
        <v>3566538</v>
      </c>
      <c r="J48" s="68">
        <f>IFERROR(__xludf.DUMMYFUNCTION("""COMPUTED_VALUE"""),3596018.0)</f>
        <v>3596018</v>
      </c>
      <c r="K48" s="68"/>
      <c r="L48" s="68"/>
      <c r="M48" s="68"/>
      <c r="N48" s="68"/>
      <c r="O48" s="52">
        <f>IFERROR(__xludf.DUMMYFUNCTION("""COMPUTED_VALUE"""),3.0588662E7)</f>
        <v>30588662</v>
      </c>
      <c r="P48" s="53">
        <f>IFERROR(__xludf.DUMMYFUNCTION("""COMPUTED_VALUE"""),0.9881181908240798)</f>
        <v>0.9881181908</v>
      </c>
      <c r="Q48" s="16"/>
    </row>
    <row r="49" ht="15.75" customHeight="1">
      <c r="A49" s="51" t="str">
        <f>IFERROR(__xludf.DUMMYFUNCTION("""COMPUTED_VALUE"""),"その他")</f>
        <v>その他</v>
      </c>
      <c r="B49" s="67">
        <f>IFERROR(__xludf.DUMMYFUNCTION("""COMPUTED_VALUE"""),2200.0)</f>
        <v>2200</v>
      </c>
      <c r="C49" s="68">
        <f>IFERROR(__xludf.DUMMYFUNCTION("""COMPUTED_VALUE"""),37571.0)</f>
        <v>37571</v>
      </c>
      <c r="D49" s="68"/>
      <c r="E49" s="68">
        <f>IFERROR(__xludf.DUMMYFUNCTION("""COMPUTED_VALUE"""),0.0)</f>
        <v>0</v>
      </c>
      <c r="F49" s="68">
        <f>IFERROR(__xludf.DUMMYFUNCTION("""COMPUTED_VALUE"""),0.0)</f>
        <v>0</v>
      </c>
      <c r="G49" s="68">
        <f>IFERROR(__xludf.DUMMYFUNCTION("""COMPUTED_VALUE"""),0.0)</f>
        <v>0</v>
      </c>
      <c r="H49" s="69"/>
      <c r="I49" s="68">
        <f>IFERROR(__xludf.DUMMYFUNCTION("""COMPUTED_VALUE"""),0.0)</f>
        <v>0</v>
      </c>
      <c r="J49" s="68">
        <f>IFERROR(__xludf.DUMMYFUNCTION("""COMPUTED_VALUE"""),0.0)</f>
        <v>0</v>
      </c>
      <c r="K49" s="68"/>
      <c r="L49" s="68"/>
      <c r="M49" s="68"/>
      <c r="N49" s="68"/>
      <c r="O49" s="52">
        <f>IFERROR(__xludf.DUMMYFUNCTION("""COMPUTED_VALUE"""),39771.0)</f>
        <v>39771</v>
      </c>
      <c r="P49" s="53">
        <f>IFERROR(__xludf.DUMMYFUNCTION("""COMPUTED_VALUE"""),0.0012847390502815873)</f>
        <v>0.00128473905</v>
      </c>
      <c r="Q49" s="16"/>
    </row>
    <row r="50" ht="15.75" customHeight="1">
      <c r="A50" s="48" t="str">
        <f>IFERROR(__xludf.DUMMYFUNCTION("""COMPUTED_VALUE"""),"水道光熱費")</f>
        <v>水道光熱費</v>
      </c>
      <c r="B50" s="67">
        <f>IFERROR(__xludf.DUMMYFUNCTION("""COMPUTED_VALUE"""),0.0)</f>
        <v>0</v>
      </c>
      <c r="C50" s="62"/>
      <c r="D50" s="62"/>
      <c r="E50" s="62">
        <f>IFERROR(__xludf.DUMMYFUNCTION("""COMPUTED_VALUE"""),0.0)</f>
        <v>0</v>
      </c>
      <c r="F50" s="62">
        <f>IFERROR(__xludf.DUMMYFUNCTION("""COMPUTED_VALUE"""),0.0)</f>
        <v>0</v>
      </c>
      <c r="G50" s="62">
        <f>IFERROR(__xludf.DUMMYFUNCTION("""COMPUTED_VALUE"""),0.0)</f>
        <v>0</v>
      </c>
      <c r="H50" s="24"/>
      <c r="I50" s="62">
        <f>IFERROR(__xludf.DUMMYFUNCTION("""COMPUTED_VALUE"""),0.0)</f>
        <v>0</v>
      </c>
      <c r="J50" s="62">
        <f>IFERROR(__xludf.DUMMYFUNCTION("""COMPUTED_VALUE"""),0.0)</f>
        <v>0</v>
      </c>
      <c r="K50" s="62"/>
      <c r="L50" s="62"/>
      <c r="M50" s="62"/>
      <c r="N50" s="62"/>
      <c r="O50" s="46">
        <f>IFERROR(__xludf.DUMMYFUNCTION("""COMPUTED_VALUE"""),0.0)</f>
        <v>0</v>
      </c>
      <c r="P50" s="47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IFERROR(__xludf.DUMMYFUNCTION("""COMPUTED_VALUE"""),2326.0)</f>
        <v>2326</v>
      </c>
      <c r="C51" s="62">
        <f>IFERROR(__xludf.DUMMYFUNCTION("""COMPUTED_VALUE"""),3006.0)</f>
        <v>3006</v>
      </c>
      <c r="D51" s="62">
        <f>IFERROR(__xludf.DUMMYFUNCTION("""COMPUTED_VALUE"""),2322.0)</f>
        <v>2322</v>
      </c>
      <c r="E51" s="62">
        <f>IFERROR(__xludf.DUMMYFUNCTION("""COMPUTED_VALUE"""),3311.0)</f>
        <v>3311</v>
      </c>
      <c r="F51" s="62">
        <f>IFERROR(__xludf.DUMMYFUNCTION("""COMPUTED_VALUE"""),3817.0)</f>
        <v>3817</v>
      </c>
      <c r="G51" s="62">
        <f>IFERROR(__xludf.DUMMYFUNCTION("""COMPUTED_VALUE"""),3458.0)</f>
        <v>3458</v>
      </c>
      <c r="H51" s="24"/>
      <c r="I51" s="62">
        <f>IFERROR(__xludf.DUMMYFUNCTION("""COMPUTED_VALUE"""),2192.0)</f>
        <v>2192</v>
      </c>
      <c r="J51" s="62">
        <f>IFERROR(__xludf.DUMMYFUNCTION("""COMPUTED_VALUE"""),3452.0)</f>
        <v>3452</v>
      </c>
      <c r="K51" s="62"/>
      <c r="L51" s="62"/>
      <c r="M51" s="62"/>
      <c r="N51" s="62"/>
      <c r="O51" s="46">
        <f>IFERROR(__xludf.DUMMYFUNCTION("""COMPUTED_VALUE"""),23884.0)</f>
        <v>23884</v>
      </c>
      <c r="P51" s="47">
        <f>IFERROR(__xludf.DUMMYFUNCTION("""COMPUTED_VALUE"""),9.395480392424474E-5)</f>
        <v>0.00009395480392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IFERROR(__xludf.DUMMYFUNCTION("""COMPUTED_VALUE"""),2.5831314E7)</f>
        <v>25831314</v>
      </c>
      <c r="C52" s="46">
        <f>IFERROR(__xludf.DUMMYFUNCTION("""COMPUTED_VALUE"""),2.0722833E7)</f>
        <v>20722833</v>
      </c>
      <c r="D52" s="46">
        <f>IFERROR(__xludf.DUMMYFUNCTION("""COMPUTED_VALUE"""),1.5468565E7)</f>
        <v>15468565</v>
      </c>
      <c r="E52" s="46">
        <f>IFERROR(__xludf.DUMMYFUNCTION("""COMPUTED_VALUE"""),1.4730536E7)</f>
        <v>14730536</v>
      </c>
      <c r="F52" s="46">
        <f>IFERROR(__xludf.DUMMYFUNCTION("""COMPUTED_VALUE"""),1.1833492E7)</f>
        <v>11833492</v>
      </c>
      <c r="G52" s="46">
        <f>IFERROR(__xludf.DUMMYFUNCTION("""COMPUTED_VALUE"""),1.1541339E7)</f>
        <v>11541339</v>
      </c>
      <c r="H52" s="46"/>
      <c r="I52" s="46">
        <f>IFERROR(__xludf.DUMMYFUNCTION("""COMPUTED_VALUE"""),1.082099E7)</f>
        <v>10820990</v>
      </c>
      <c r="J52" s="46">
        <f>IFERROR(__xludf.DUMMYFUNCTION("""COMPUTED_VALUE"""),6800174.0)</f>
        <v>6800174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IFERROR(__xludf.DUMMYFUNCTION("""COMPUTED_VALUE"""),1.17749243E8)</f>
        <v>117749243</v>
      </c>
      <c r="P52" s="47">
        <f>IFERROR(__xludf.DUMMYFUNCTION("""COMPUTED_VALUE"""),0.46320160100038715)</f>
        <v>0.463201601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67">
        <f>IFERROR(__xludf.DUMMYFUNCTION("""COMPUTED_VALUE"""),2.5116314E7)</f>
        <v>25116314</v>
      </c>
      <c r="C53" s="68">
        <f>IFERROR(__xludf.DUMMYFUNCTION("""COMPUTED_VALUE"""),2.0172833E7)</f>
        <v>20172833</v>
      </c>
      <c r="D53" s="68">
        <f>IFERROR(__xludf.DUMMYFUNCTION("""COMPUTED_VALUE"""),1.4918565E7)</f>
        <v>14918565</v>
      </c>
      <c r="E53" s="68">
        <f>IFERROR(__xludf.DUMMYFUNCTION("""COMPUTED_VALUE"""),1.3057299E7)</f>
        <v>13057299</v>
      </c>
      <c r="F53" s="68">
        <f>IFERROR(__xludf.DUMMYFUNCTION("""COMPUTED_VALUE"""),1.1283492E7)</f>
        <v>11283492</v>
      </c>
      <c r="G53" s="68">
        <f>IFERROR(__xludf.DUMMYFUNCTION("""COMPUTED_VALUE"""),1.0991339E7)</f>
        <v>10991339</v>
      </c>
      <c r="H53" s="69"/>
      <c r="I53" s="68">
        <f>IFERROR(__xludf.DUMMYFUNCTION("""COMPUTED_VALUE"""),9206946.0)</f>
        <v>9206946</v>
      </c>
      <c r="J53" s="68">
        <f>IFERROR(__xludf.DUMMYFUNCTION("""COMPUTED_VALUE"""),5700174.0)</f>
        <v>5700174</v>
      </c>
      <c r="K53" s="68"/>
      <c r="L53" s="68"/>
      <c r="M53" s="68"/>
      <c r="N53" s="68"/>
      <c r="O53" s="52">
        <f>IFERROR(__xludf.DUMMYFUNCTION("""COMPUTED_VALUE"""),1.10446962E8)</f>
        <v>110446962</v>
      </c>
      <c r="P53" s="53">
        <f>IFERROR(__xludf.DUMMYFUNCTION("""COMPUTED_VALUE"""),0.9379844760445721)</f>
        <v>0.937984476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67">
        <f>IFERROR(__xludf.DUMMYFUNCTION("""COMPUTED_VALUE"""),495000.0)</f>
        <v>495000</v>
      </c>
      <c r="C54" s="68">
        <f>IFERROR(__xludf.DUMMYFUNCTION("""COMPUTED_VALUE"""),495000.0)</f>
        <v>495000</v>
      </c>
      <c r="D54" s="68">
        <f>IFERROR(__xludf.DUMMYFUNCTION("""COMPUTED_VALUE"""),495000.0)</f>
        <v>495000</v>
      </c>
      <c r="E54" s="68">
        <f>IFERROR(__xludf.DUMMYFUNCTION("""COMPUTED_VALUE"""),495000.0)</f>
        <v>495000</v>
      </c>
      <c r="F54" s="68">
        <f>IFERROR(__xludf.DUMMYFUNCTION("""COMPUTED_VALUE"""),495000.0)</f>
        <v>495000</v>
      </c>
      <c r="G54" s="68">
        <f>IFERROR(__xludf.DUMMYFUNCTION("""COMPUTED_VALUE"""),495000.0)</f>
        <v>495000</v>
      </c>
      <c r="H54" s="69"/>
      <c r="I54" s="68">
        <f>IFERROR(__xludf.DUMMYFUNCTION("""COMPUTED_VALUE"""),1468500.0)</f>
        <v>1468500</v>
      </c>
      <c r="J54" s="68">
        <f>IFERROR(__xludf.DUMMYFUNCTION("""COMPUTED_VALUE"""),1045000.0)</f>
        <v>1045000</v>
      </c>
      <c r="K54" s="68"/>
      <c r="L54" s="68"/>
      <c r="M54" s="68"/>
      <c r="N54" s="68"/>
      <c r="O54" s="52">
        <f>IFERROR(__xludf.DUMMYFUNCTION("""COMPUTED_VALUE"""),5483500.0)</f>
        <v>5483500</v>
      </c>
      <c r="P54" s="53">
        <f>IFERROR(__xludf.DUMMYFUNCTION("""COMPUTED_VALUE"""),0.046569301511348145)</f>
        <v>0.04656930151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67">
        <f>IFERROR(__xludf.DUMMYFUNCTION("""COMPUTED_VALUE"""),0.0)</f>
        <v>0</v>
      </c>
      <c r="C55" s="68"/>
      <c r="D55" s="68"/>
      <c r="E55" s="68">
        <f>IFERROR(__xludf.DUMMYFUNCTION("""COMPUTED_VALUE"""),0.0)</f>
        <v>0</v>
      </c>
      <c r="F55" s="68">
        <f>IFERROR(__xludf.DUMMYFUNCTION("""COMPUTED_VALUE"""),0.0)</f>
        <v>0</v>
      </c>
      <c r="G55" s="68">
        <f>IFERROR(__xludf.DUMMYFUNCTION("""COMPUTED_VALUE"""),0.0)</f>
        <v>0</v>
      </c>
      <c r="H55" s="69"/>
      <c r="I55" s="68">
        <f>IFERROR(__xludf.DUMMYFUNCTION("""COMPUTED_VALUE"""),0.0)</f>
        <v>0</v>
      </c>
      <c r="J55" s="68">
        <f>IFERROR(__xludf.DUMMYFUNCTION("""COMPUTED_VALUE"""),0.0)</f>
        <v>0</v>
      </c>
      <c r="K55" s="68"/>
      <c r="L55" s="68"/>
      <c r="M55" s="68"/>
      <c r="N55" s="68"/>
      <c r="O55" s="52">
        <f>IFERROR(__xludf.DUMMYFUNCTION("""COMPUTED_VALUE"""),0.0)</f>
        <v>0</v>
      </c>
      <c r="P55" s="53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67">
        <f>IFERROR(__xludf.DUMMYFUNCTION("""COMPUTED_VALUE"""),0.0)</f>
        <v>0</v>
      </c>
      <c r="C56" s="68"/>
      <c r="D56" s="68"/>
      <c r="E56" s="68">
        <f>IFERROR(__xludf.DUMMYFUNCTION("""COMPUTED_VALUE"""),0.0)</f>
        <v>0</v>
      </c>
      <c r="F56" s="68">
        <f>IFERROR(__xludf.DUMMYFUNCTION("""COMPUTED_VALUE"""),0.0)</f>
        <v>0</v>
      </c>
      <c r="G56" s="68">
        <f>IFERROR(__xludf.DUMMYFUNCTION("""COMPUTED_VALUE"""),0.0)</f>
        <v>0</v>
      </c>
      <c r="H56" s="69"/>
      <c r="I56" s="68">
        <f>IFERROR(__xludf.DUMMYFUNCTION("""COMPUTED_VALUE"""),0.0)</f>
        <v>0</v>
      </c>
      <c r="J56" s="68">
        <f>IFERROR(__xludf.DUMMYFUNCTION("""COMPUTED_VALUE"""),0.0)</f>
        <v>0</v>
      </c>
      <c r="K56" s="68"/>
      <c r="L56" s="68"/>
      <c r="M56" s="68"/>
      <c r="N56" s="68"/>
      <c r="O56" s="52">
        <f>IFERROR(__xludf.DUMMYFUNCTION("""COMPUTED_VALUE"""),0.0)</f>
        <v>0</v>
      </c>
      <c r="P56" s="53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67">
        <f>IFERROR(__xludf.DUMMYFUNCTION("""COMPUTED_VALUE"""),55000.0)</f>
        <v>55000</v>
      </c>
      <c r="C57" s="68">
        <f>IFERROR(__xludf.DUMMYFUNCTION("""COMPUTED_VALUE"""),55000.0)</f>
        <v>55000</v>
      </c>
      <c r="D57" s="68">
        <f>IFERROR(__xludf.DUMMYFUNCTION("""COMPUTED_VALUE"""),55000.0)</f>
        <v>55000</v>
      </c>
      <c r="E57" s="68">
        <f>IFERROR(__xludf.DUMMYFUNCTION("""COMPUTED_VALUE"""),55000.0)</f>
        <v>55000</v>
      </c>
      <c r="F57" s="68">
        <f>IFERROR(__xludf.DUMMYFUNCTION("""COMPUTED_VALUE"""),55000.0)</f>
        <v>55000</v>
      </c>
      <c r="G57" s="68">
        <f>IFERROR(__xludf.DUMMYFUNCTION("""COMPUTED_VALUE"""),55000.0)</f>
        <v>55000</v>
      </c>
      <c r="H57" s="69"/>
      <c r="I57" s="68">
        <f>IFERROR(__xludf.DUMMYFUNCTION("""COMPUTED_VALUE"""),55000.0)</f>
        <v>55000</v>
      </c>
      <c r="J57" s="68">
        <f>IFERROR(__xludf.DUMMYFUNCTION("""COMPUTED_VALUE"""),55000.0)</f>
        <v>55000</v>
      </c>
      <c r="K57" s="68"/>
      <c r="L57" s="68"/>
      <c r="M57" s="68"/>
      <c r="N57" s="68"/>
      <c r="O57" s="52">
        <f>IFERROR(__xludf.DUMMYFUNCTION("""COMPUTED_VALUE"""),440000.0)</f>
        <v>440000</v>
      </c>
      <c r="P57" s="53">
        <f>IFERROR(__xludf.DUMMYFUNCTION("""COMPUTED_VALUE"""),0.0037367543840600317)</f>
        <v>0.003736754384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68"/>
      <c r="D58" s="68"/>
      <c r="E58" s="68">
        <f>IFERROR(__xludf.DUMMYFUNCTION("""COMPUTED_VALUE"""),0.0)</f>
        <v>0</v>
      </c>
      <c r="F58" s="68">
        <f>IFERROR(__xludf.DUMMYFUNCTION("""COMPUTED_VALUE"""),0.0)</f>
        <v>0</v>
      </c>
      <c r="G58" s="68">
        <f>IFERROR(__xludf.DUMMYFUNCTION("""COMPUTED_VALUE"""),0.0)</f>
        <v>0</v>
      </c>
      <c r="H58" s="69"/>
      <c r="I58" s="68">
        <f>IFERROR(__xludf.DUMMYFUNCTION("""COMPUTED_VALUE"""),0.0)</f>
        <v>0</v>
      </c>
      <c r="J58" s="68">
        <f>IFERROR(__xludf.DUMMYFUNCTION("""COMPUTED_VALUE"""),0.0)</f>
        <v>0</v>
      </c>
      <c r="K58" s="68"/>
      <c r="L58" s="68"/>
      <c r="M58" s="68"/>
      <c r="N58" s="68"/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67">
        <f>IFERROR(__xludf.DUMMYFUNCTION("""COMPUTED_VALUE"""),165000.0)</f>
        <v>165000</v>
      </c>
      <c r="C59" s="68"/>
      <c r="D59" s="68"/>
      <c r="E59" s="68">
        <f>IFERROR(__xludf.DUMMYFUNCTION("""COMPUTED_VALUE"""),1123237.0)</f>
        <v>1123237</v>
      </c>
      <c r="F59" s="68">
        <f>IFERROR(__xludf.DUMMYFUNCTION("""COMPUTED_VALUE"""),0.0)</f>
        <v>0</v>
      </c>
      <c r="G59" s="68">
        <f>IFERROR(__xludf.DUMMYFUNCTION("""COMPUTED_VALUE"""),0.0)</f>
        <v>0</v>
      </c>
      <c r="H59" s="69"/>
      <c r="I59" s="68">
        <f>IFERROR(__xludf.DUMMYFUNCTION("""COMPUTED_VALUE"""),0.0)</f>
        <v>0</v>
      </c>
      <c r="J59" s="68">
        <f>IFERROR(__xludf.DUMMYFUNCTION("""COMPUTED_VALUE"""),0.0)</f>
        <v>0</v>
      </c>
      <c r="K59" s="68"/>
      <c r="L59" s="68"/>
      <c r="M59" s="68"/>
      <c r="N59" s="68"/>
      <c r="O59" s="52">
        <f>IFERROR(__xludf.DUMMYFUNCTION("""COMPUTED_VALUE"""),1288237.0)</f>
        <v>1288237</v>
      </c>
      <c r="P59" s="53">
        <f>IFERROR(__xludf.DUMMYFUNCTION("""COMPUTED_VALUE"""),0.010940511948768961)</f>
        <v>0.01094051195</v>
      </c>
      <c r="Q59" s="16"/>
    </row>
    <row r="60" ht="15.75" customHeight="1">
      <c r="A60" s="51" t="str">
        <f>IFERROR(__xludf.DUMMYFUNCTION("""COMPUTED_VALUE"""),"その他")</f>
        <v>その他</v>
      </c>
      <c r="B60" s="67">
        <f>IFERROR(__xludf.DUMMYFUNCTION("""COMPUTED_VALUE"""),0.0)</f>
        <v>0</v>
      </c>
      <c r="C60" s="68"/>
      <c r="D60" s="68"/>
      <c r="E60" s="68">
        <f>IFERROR(__xludf.DUMMYFUNCTION("""COMPUTED_VALUE"""),0.0)</f>
        <v>0</v>
      </c>
      <c r="F60" s="68">
        <f>IFERROR(__xludf.DUMMYFUNCTION("""COMPUTED_VALUE"""),0.0)</f>
        <v>0</v>
      </c>
      <c r="G60" s="68">
        <f>IFERROR(__xludf.DUMMYFUNCTION("""COMPUTED_VALUE"""),0.0)</f>
        <v>0</v>
      </c>
      <c r="H60" s="69"/>
      <c r="I60" s="68">
        <f>IFERROR(__xludf.DUMMYFUNCTION("""COMPUTED_VALUE"""),90544.0)</f>
        <v>90544</v>
      </c>
      <c r="J60" s="68">
        <f>IFERROR(__xludf.DUMMYFUNCTION("""COMPUTED_VALUE"""),0.0)</f>
        <v>0</v>
      </c>
      <c r="K60" s="68"/>
      <c r="L60" s="68"/>
      <c r="M60" s="68"/>
      <c r="N60" s="68"/>
      <c r="O60" s="52">
        <f>IFERROR(__xludf.DUMMYFUNCTION("""COMPUTED_VALUE"""),90544.0)</f>
        <v>90544</v>
      </c>
      <c r="P60" s="53">
        <f>IFERROR(__xludf.DUMMYFUNCTION("""COMPUTED_VALUE"""),7.689561112507534E-4)</f>
        <v>0.0007689561113</v>
      </c>
      <c r="Q60" s="16"/>
    </row>
    <row r="61" ht="15.75" customHeight="1">
      <c r="A61" s="48" t="str">
        <f>IFERROR(__xludf.DUMMYFUNCTION("""COMPUTED_VALUE"""),"研修費")</f>
        <v>研修費</v>
      </c>
      <c r="B61" s="67">
        <f>IFERROR(__xludf.DUMMYFUNCTION("""COMPUTED_VALUE"""),0.0)</f>
        <v>0</v>
      </c>
      <c r="C61" s="62"/>
      <c r="D61" s="62"/>
      <c r="E61" s="62">
        <f>IFERROR(__xludf.DUMMYFUNCTION("""COMPUTED_VALUE"""),0.0)</f>
        <v>0</v>
      </c>
      <c r="F61" s="62">
        <f>IFERROR(__xludf.DUMMYFUNCTION("""COMPUTED_VALUE"""),0.0)</f>
        <v>0</v>
      </c>
      <c r="G61" s="62">
        <f>IFERROR(__xludf.DUMMYFUNCTION("""COMPUTED_VALUE"""),0.0)</f>
        <v>0</v>
      </c>
      <c r="H61" s="24"/>
      <c r="I61" s="62">
        <f>IFERROR(__xludf.DUMMYFUNCTION("""COMPUTED_VALUE"""),0.0)</f>
        <v>0</v>
      </c>
      <c r="J61" s="62">
        <f>IFERROR(__xludf.DUMMYFUNCTION("""COMPUTED_VALUE"""),0.0)</f>
        <v>0</v>
      </c>
      <c r="K61" s="62"/>
      <c r="L61" s="62"/>
      <c r="M61" s="62"/>
      <c r="N61" s="62"/>
      <c r="O61" s="46">
        <f>IFERROR(__xludf.DUMMYFUNCTION("""COMPUTED_VALUE"""),0.0)</f>
        <v>0</v>
      </c>
      <c r="P61" s="47">
        <f>IFERROR(__xludf.DUMMYFUNCTION("""COMPUTED_VALUE"""),0.0)</f>
        <v>0</v>
      </c>
      <c r="Q61" s="16"/>
    </row>
    <row r="62" ht="15.75" customHeight="1">
      <c r="A62" s="48" t="str">
        <f>IFERROR(__xludf.DUMMYFUNCTION("""COMPUTED_VALUE"""),"接待交際費")</f>
        <v>接待交際費</v>
      </c>
      <c r="B62" s="67">
        <f>IFERROR(__xludf.DUMMYFUNCTION("""COMPUTED_VALUE"""),0.0)</f>
        <v>0</v>
      </c>
      <c r="C62" s="62">
        <f>IFERROR(__xludf.DUMMYFUNCTION("""COMPUTED_VALUE"""),3262.0)</f>
        <v>3262</v>
      </c>
      <c r="D62" s="62"/>
      <c r="E62" s="62">
        <f>IFERROR(__xludf.DUMMYFUNCTION("""COMPUTED_VALUE"""),0.0)</f>
        <v>0</v>
      </c>
      <c r="F62" s="62">
        <f>IFERROR(__xludf.DUMMYFUNCTION("""COMPUTED_VALUE"""),0.0)</f>
        <v>0</v>
      </c>
      <c r="G62" s="62">
        <f>IFERROR(__xludf.DUMMYFUNCTION("""COMPUTED_VALUE"""),0.0)</f>
        <v>0</v>
      </c>
      <c r="H62" s="24"/>
      <c r="I62" s="62">
        <f>IFERROR(__xludf.DUMMYFUNCTION("""COMPUTED_VALUE"""),0.0)</f>
        <v>0</v>
      </c>
      <c r="J62" s="62">
        <f>IFERROR(__xludf.DUMMYFUNCTION("""COMPUTED_VALUE"""),0.0)</f>
        <v>0</v>
      </c>
      <c r="K62" s="62"/>
      <c r="L62" s="62"/>
      <c r="M62" s="62"/>
      <c r="N62" s="62"/>
      <c r="O62" s="46">
        <f>IFERROR(__xludf.DUMMYFUNCTION("""COMPUTED_VALUE"""),3262.0)</f>
        <v>3262</v>
      </c>
      <c r="P62" s="47">
        <f>IFERROR(__xludf.DUMMYFUNCTION("""COMPUTED_VALUE"""),1.2832045319079146E-5)</f>
        <v>0.00001283204532</v>
      </c>
      <c r="Q62" s="16"/>
    </row>
    <row r="63" ht="15.75" customHeight="1">
      <c r="A63" s="48" t="str">
        <f>IFERROR(__xludf.DUMMYFUNCTION("""COMPUTED_VALUE"""),"会議費")</f>
        <v>会議費</v>
      </c>
      <c r="B63" s="67">
        <f>IFERROR(__xludf.DUMMYFUNCTION("""COMPUTED_VALUE"""),0.0)</f>
        <v>0</v>
      </c>
      <c r="C63" s="62"/>
      <c r="D63" s="62"/>
      <c r="E63" s="62">
        <f>IFERROR(__xludf.DUMMYFUNCTION("""COMPUTED_VALUE"""),0.0)</f>
        <v>0</v>
      </c>
      <c r="F63" s="62">
        <f>IFERROR(__xludf.DUMMYFUNCTION("""COMPUTED_VALUE"""),0.0)</f>
        <v>0</v>
      </c>
      <c r="G63" s="62">
        <f>IFERROR(__xludf.DUMMYFUNCTION("""COMPUTED_VALUE"""),0.0)</f>
        <v>0</v>
      </c>
      <c r="H63" s="24"/>
      <c r="I63" s="62">
        <f>IFERROR(__xludf.DUMMYFUNCTION("""COMPUTED_VALUE"""),0.0)</f>
        <v>0</v>
      </c>
      <c r="J63" s="62">
        <f>IFERROR(__xludf.DUMMYFUNCTION("""COMPUTED_VALUE"""),0.0)</f>
        <v>0</v>
      </c>
      <c r="K63" s="62"/>
      <c r="L63" s="62"/>
      <c r="M63" s="62"/>
      <c r="N63" s="62"/>
      <c r="O63" s="46">
        <f>IFERROR(__xludf.DUMMYFUNCTION("""COMPUTED_VALUE"""),0.0)</f>
        <v>0</v>
      </c>
      <c r="P63" s="47">
        <f>IFERROR(__xludf.DUMMYFUNCTION("""COMPUTED_VALUE"""),0.0)</f>
        <v>0</v>
      </c>
      <c r="Q63" s="16"/>
    </row>
    <row r="64" ht="15.75" customHeight="1">
      <c r="A64" s="48" t="str">
        <f>IFERROR(__xludf.DUMMYFUNCTION("""COMPUTED_VALUE"""),"荷造運搬費")</f>
        <v>荷造運搬費</v>
      </c>
      <c r="B64" s="67">
        <f>IFERROR(__xludf.DUMMYFUNCTION("""COMPUTED_VALUE"""),0.0)</f>
        <v>0</v>
      </c>
      <c r="C64" s="62"/>
      <c r="D64" s="62"/>
      <c r="E64" s="62">
        <f>IFERROR(__xludf.DUMMYFUNCTION("""COMPUTED_VALUE"""),0.0)</f>
        <v>0</v>
      </c>
      <c r="F64" s="62">
        <f>IFERROR(__xludf.DUMMYFUNCTION("""COMPUTED_VALUE"""),0.0)</f>
        <v>0</v>
      </c>
      <c r="G64" s="62">
        <f>IFERROR(__xludf.DUMMYFUNCTION("""COMPUTED_VALUE"""),0.0)</f>
        <v>0</v>
      </c>
      <c r="H64" s="24"/>
      <c r="I64" s="62">
        <f>IFERROR(__xludf.DUMMYFUNCTION("""COMPUTED_VALUE"""),0.0)</f>
        <v>0</v>
      </c>
      <c r="J64" s="62">
        <f>IFERROR(__xludf.DUMMYFUNCTION("""COMPUTED_VALUE"""),0.0)</f>
        <v>0</v>
      </c>
      <c r="K64" s="62"/>
      <c r="L64" s="62"/>
      <c r="M64" s="62"/>
      <c r="N64" s="62"/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IFERROR(__xludf.DUMMYFUNCTION("""COMPUTED_VALUE"""),0.0)</f>
        <v>0</v>
      </c>
      <c r="C65" s="62"/>
      <c r="D65" s="62"/>
      <c r="E65" s="62">
        <f>IFERROR(__xludf.DUMMYFUNCTION("""COMPUTED_VALUE"""),0.0)</f>
        <v>0</v>
      </c>
      <c r="F65" s="62">
        <f>IFERROR(__xludf.DUMMYFUNCTION("""COMPUTED_VALUE"""),0.0)</f>
        <v>0</v>
      </c>
      <c r="G65" s="62">
        <f>IFERROR(__xludf.DUMMYFUNCTION("""COMPUTED_VALUE"""),0.0)</f>
        <v>0</v>
      </c>
      <c r="H65" s="24"/>
      <c r="I65" s="62">
        <f>IFERROR(__xludf.DUMMYFUNCTION("""COMPUTED_VALUE"""),1080.0)</f>
        <v>1080</v>
      </c>
      <c r="J65" s="62">
        <f>IFERROR(__xludf.DUMMYFUNCTION("""COMPUTED_VALUE"""),0.0)</f>
        <v>0</v>
      </c>
      <c r="K65" s="62"/>
      <c r="L65" s="62"/>
      <c r="M65" s="62"/>
      <c r="N65" s="62"/>
      <c r="O65" s="46">
        <f>IFERROR(__xludf.DUMMYFUNCTION("""COMPUTED_VALUE"""),1080.0)</f>
        <v>1080</v>
      </c>
      <c r="P65" s="47">
        <f>IFERROR(__xludf.DUMMYFUNCTION("""COMPUTED_VALUE"""),4.2485005961390185E-6)</f>
        <v>0.000004248500596</v>
      </c>
      <c r="Q65" s="16"/>
    </row>
    <row r="66" ht="15.75" customHeight="1">
      <c r="A66" s="48" t="str">
        <f>IFERROR(__xludf.DUMMYFUNCTION("""COMPUTED_VALUE"""),"新聞図書費")</f>
        <v>新聞図書費</v>
      </c>
      <c r="B66" s="67">
        <f>IFERROR(__xludf.DUMMYFUNCTION("""COMPUTED_VALUE"""),0.0)</f>
        <v>0</v>
      </c>
      <c r="C66" s="62"/>
      <c r="D66" s="62"/>
      <c r="E66" s="62">
        <f>IFERROR(__xludf.DUMMYFUNCTION("""COMPUTED_VALUE"""),0.0)</f>
        <v>0</v>
      </c>
      <c r="F66" s="62">
        <f>IFERROR(__xludf.DUMMYFUNCTION("""COMPUTED_VALUE"""),0.0)</f>
        <v>0</v>
      </c>
      <c r="G66" s="62">
        <f>IFERROR(__xludf.DUMMYFUNCTION("""COMPUTED_VALUE"""),0.0)</f>
        <v>0</v>
      </c>
      <c r="H66" s="24"/>
      <c r="I66" s="62">
        <f>IFERROR(__xludf.DUMMYFUNCTION("""COMPUTED_VALUE"""),0.0)</f>
        <v>0</v>
      </c>
      <c r="J66" s="62">
        <f>IFERROR(__xludf.DUMMYFUNCTION("""COMPUTED_VALUE"""),0.0)</f>
        <v>0</v>
      </c>
      <c r="K66" s="62"/>
      <c r="L66" s="62"/>
      <c r="M66" s="62"/>
      <c r="N66" s="62"/>
      <c r="O66" s="46">
        <f>IFERROR(__xludf.DUMMYFUNCTION("""COMPUTED_VALUE"""),0.0)</f>
        <v>0</v>
      </c>
      <c r="P66" s="47">
        <f>IFERROR(__xludf.DUMMYFUNCTION("""COMPUTED_VALUE"""),0.0)</f>
        <v>0</v>
      </c>
      <c r="Q66" s="16"/>
    </row>
    <row r="67" ht="15.75" customHeight="1">
      <c r="A67" s="48" t="str">
        <f>IFERROR(__xludf.DUMMYFUNCTION("""COMPUTED_VALUE"""),"保険料")</f>
        <v>保険料</v>
      </c>
      <c r="B67" s="67">
        <f>IFERROR(__xludf.DUMMYFUNCTION("""COMPUTED_VALUE"""),0.0)</f>
        <v>0</v>
      </c>
      <c r="C67" s="62"/>
      <c r="D67" s="62"/>
      <c r="E67" s="62">
        <f>IFERROR(__xludf.DUMMYFUNCTION("""COMPUTED_VALUE"""),0.0)</f>
        <v>0</v>
      </c>
      <c r="F67" s="62">
        <f>IFERROR(__xludf.DUMMYFUNCTION("""COMPUTED_VALUE"""),0.0)</f>
        <v>0</v>
      </c>
      <c r="G67" s="62">
        <f>IFERROR(__xludf.DUMMYFUNCTION("""COMPUTED_VALUE"""),0.0)</f>
        <v>0</v>
      </c>
      <c r="H67" s="24"/>
      <c r="I67" s="62">
        <f>IFERROR(__xludf.DUMMYFUNCTION("""COMPUTED_VALUE"""),0.0)</f>
        <v>0</v>
      </c>
      <c r="J67" s="62">
        <f>IFERROR(__xludf.DUMMYFUNCTION("""COMPUTED_VALUE"""),0.0)</f>
        <v>0</v>
      </c>
      <c r="K67" s="62"/>
      <c r="L67" s="62"/>
      <c r="M67" s="62"/>
      <c r="N67" s="62"/>
      <c r="O67" s="46">
        <f>IFERROR(__xludf.DUMMYFUNCTION("""COMPUTED_VALUE"""),0.0)</f>
        <v>0</v>
      </c>
      <c r="P67" s="47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62"/>
      <c r="D68" s="62"/>
      <c r="E68" s="62">
        <f>IFERROR(__xludf.DUMMYFUNCTION("""COMPUTED_VALUE"""),0.0)</f>
        <v>0</v>
      </c>
      <c r="F68" s="62">
        <f>IFERROR(__xludf.DUMMYFUNCTION("""COMPUTED_VALUE"""),0.0)</f>
        <v>0</v>
      </c>
      <c r="G68" s="62">
        <f>IFERROR(__xludf.DUMMYFUNCTION("""COMPUTED_VALUE"""),0.0)</f>
        <v>0</v>
      </c>
      <c r="H68" s="24"/>
      <c r="I68" s="62">
        <f>IFERROR(__xludf.DUMMYFUNCTION("""COMPUTED_VALUE"""),0.0)</f>
        <v>0</v>
      </c>
      <c r="J68" s="62">
        <f>IFERROR(__xludf.DUMMYFUNCTION("""COMPUTED_VALUE"""),0.0)</f>
        <v>0</v>
      </c>
      <c r="K68" s="62"/>
      <c r="L68" s="62"/>
      <c r="M68" s="62"/>
      <c r="N68" s="62"/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67">
        <f>IFERROR(__xludf.DUMMYFUNCTION("""COMPUTED_VALUE"""),0.0)</f>
        <v>0</v>
      </c>
      <c r="C69" s="62"/>
      <c r="D69" s="62"/>
      <c r="E69" s="62">
        <f>IFERROR(__xludf.DUMMYFUNCTION("""COMPUTED_VALUE"""),0.0)</f>
        <v>0</v>
      </c>
      <c r="F69" s="62">
        <f>IFERROR(__xludf.DUMMYFUNCTION("""COMPUTED_VALUE"""),0.0)</f>
        <v>0</v>
      </c>
      <c r="G69" s="62">
        <f>IFERROR(__xludf.DUMMYFUNCTION("""COMPUTED_VALUE"""),0.0)</f>
        <v>0</v>
      </c>
      <c r="H69" s="24"/>
      <c r="I69" s="62">
        <f>IFERROR(__xludf.DUMMYFUNCTION("""COMPUTED_VALUE"""),0.0)</f>
        <v>0</v>
      </c>
      <c r="J69" s="62">
        <f>IFERROR(__xludf.DUMMYFUNCTION("""COMPUTED_VALUE"""),0.0)</f>
        <v>0</v>
      </c>
      <c r="K69" s="62"/>
      <c r="L69" s="62"/>
      <c r="M69" s="62"/>
      <c r="N69" s="62"/>
      <c r="O69" s="46">
        <f>IFERROR(__xludf.DUMMYFUNCTION("""COMPUTED_VALUE"""),0.0)</f>
        <v>0</v>
      </c>
      <c r="P69" s="47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62"/>
      <c r="D70" s="62"/>
      <c r="E70" s="62">
        <f>IFERROR(__xludf.DUMMYFUNCTION("""COMPUTED_VALUE"""),0.0)</f>
        <v>0</v>
      </c>
      <c r="F70" s="62">
        <f>IFERROR(__xludf.DUMMYFUNCTION("""COMPUTED_VALUE"""),0.0)</f>
        <v>0</v>
      </c>
      <c r="G70" s="62">
        <f>IFERROR(__xludf.DUMMYFUNCTION("""COMPUTED_VALUE"""),0.0)</f>
        <v>0</v>
      </c>
      <c r="H70" s="24"/>
      <c r="I70" s="62">
        <f>IFERROR(__xludf.DUMMYFUNCTION("""COMPUTED_VALUE"""),0.0)</f>
        <v>0</v>
      </c>
      <c r="J70" s="62">
        <f>IFERROR(__xludf.DUMMYFUNCTION("""COMPUTED_VALUE"""),0.0)</f>
        <v>0</v>
      </c>
      <c r="K70" s="62"/>
      <c r="L70" s="62"/>
      <c r="M70" s="62"/>
      <c r="N70" s="62"/>
      <c r="O70" s="46">
        <f>IFERROR(__xludf.DUMMYFUNCTION("""COMPUTED_VALUE"""),0.0)</f>
        <v>0</v>
      </c>
      <c r="P70" s="47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62"/>
      <c r="D71" s="62"/>
      <c r="E71" s="62">
        <f>IFERROR(__xludf.DUMMYFUNCTION("""COMPUTED_VALUE"""),0.0)</f>
        <v>0</v>
      </c>
      <c r="F71" s="62">
        <f>IFERROR(__xludf.DUMMYFUNCTION("""COMPUTED_VALUE"""),0.0)</f>
        <v>0</v>
      </c>
      <c r="G71" s="62">
        <f>IFERROR(__xludf.DUMMYFUNCTION("""COMPUTED_VALUE"""),0.0)</f>
        <v>0</v>
      </c>
      <c r="H71" s="24"/>
      <c r="I71" s="62">
        <f>IFERROR(__xludf.DUMMYFUNCTION("""COMPUTED_VALUE"""),0.0)</f>
        <v>0</v>
      </c>
      <c r="J71" s="62">
        <f>IFERROR(__xludf.DUMMYFUNCTION("""COMPUTED_VALUE"""),0.0)</f>
        <v>0</v>
      </c>
      <c r="K71" s="62"/>
      <c r="L71" s="62"/>
      <c r="M71" s="62"/>
      <c r="N71" s="62"/>
      <c r="O71" s="46">
        <f>IFERROR(__xludf.DUMMYFUNCTION("""COMPUTED_VALUE"""),0.0)</f>
        <v>0</v>
      </c>
      <c r="P71" s="47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67">
        <f>IFERROR(__xludf.DUMMYFUNCTION("""COMPUTED_VALUE"""),0.0)</f>
        <v>0</v>
      </c>
      <c r="C72" s="62"/>
      <c r="D72" s="62"/>
      <c r="E72" s="62">
        <f>IFERROR(__xludf.DUMMYFUNCTION("""COMPUTED_VALUE"""),0.0)</f>
        <v>0</v>
      </c>
      <c r="F72" s="62">
        <f>IFERROR(__xludf.DUMMYFUNCTION("""COMPUTED_VALUE"""),0.0)</f>
        <v>0</v>
      </c>
      <c r="G72" s="62">
        <f>IFERROR(__xludf.DUMMYFUNCTION("""COMPUTED_VALUE"""),0.0)</f>
        <v>0</v>
      </c>
      <c r="H72" s="24"/>
      <c r="I72" s="62">
        <f>IFERROR(__xludf.DUMMYFUNCTION("""COMPUTED_VALUE"""),0.0)</f>
        <v>0</v>
      </c>
      <c r="J72" s="62">
        <f>IFERROR(__xludf.DUMMYFUNCTION("""COMPUTED_VALUE"""),0.0)</f>
        <v>0</v>
      </c>
      <c r="K72" s="62"/>
      <c r="L72" s="62"/>
      <c r="M72" s="62"/>
      <c r="N72" s="62"/>
      <c r="O72" s="46">
        <f>IFERROR(__xludf.DUMMYFUNCTION("""COMPUTED_VALUE"""),0.0)</f>
        <v>0</v>
      </c>
      <c r="P72" s="47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67">
        <f>IFERROR(__xludf.DUMMYFUNCTION("""COMPUTED_VALUE"""),0.0)</f>
        <v>0</v>
      </c>
      <c r="C73" s="62"/>
      <c r="D73" s="62"/>
      <c r="E73" s="62">
        <f>IFERROR(__xludf.DUMMYFUNCTION("""COMPUTED_VALUE"""),0.0)</f>
        <v>0</v>
      </c>
      <c r="F73" s="62">
        <f>IFERROR(__xludf.DUMMYFUNCTION("""COMPUTED_VALUE"""),0.0)</f>
        <v>0</v>
      </c>
      <c r="G73" s="62">
        <f>IFERROR(__xludf.DUMMYFUNCTION("""COMPUTED_VALUE"""),0.0)</f>
        <v>0</v>
      </c>
      <c r="H73" s="24"/>
      <c r="I73" s="62">
        <f>IFERROR(__xludf.DUMMYFUNCTION("""COMPUTED_VALUE"""),0.0)</f>
        <v>0</v>
      </c>
      <c r="J73" s="62">
        <f>IFERROR(__xludf.DUMMYFUNCTION("""COMPUTED_VALUE"""),0.0)</f>
        <v>0</v>
      </c>
      <c r="K73" s="62"/>
      <c r="L73" s="62"/>
      <c r="M73" s="62"/>
      <c r="N73" s="62"/>
      <c r="O73" s="46">
        <f>IFERROR(__xludf.DUMMYFUNCTION("""COMPUTED_VALUE"""),0.0)</f>
        <v>0</v>
      </c>
      <c r="P73" s="47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67">
        <f>IFERROR(__xludf.DUMMYFUNCTION("""COMPUTED_VALUE"""),0.0)</f>
        <v>0</v>
      </c>
      <c r="C74" s="62"/>
      <c r="D74" s="62"/>
      <c r="E74" s="62">
        <f>IFERROR(__xludf.DUMMYFUNCTION("""COMPUTED_VALUE"""),0.0)</f>
        <v>0</v>
      </c>
      <c r="F74" s="62">
        <f>IFERROR(__xludf.DUMMYFUNCTION("""COMPUTED_VALUE"""),0.0)</f>
        <v>0</v>
      </c>
      <c r="G74" s="62">
        <f>IFERROR(__xludf.DUMMYFUNCTION("""COMPUTED_VALUE"""),0.0)</f>
        <v>0</v>
      </c>
      <c r="H74" s="24"/>
      <c r="I74" s="62">
        <f>IFERROR(__xludf.DUMMYFUNCTION("""COMPUTED_VALUE"""),0.0)</f>
        <v>0</v>
      </c>
      <c r="J74" s="62">
        <f>IFERROR(__xludf.DUMMYFUNCTION("""COMPUTED_VALUE"""),0.0)</f>
        <v>0</v>
      </c>
      <c r="K74" s="62"/>
      <c r="L74" s="62"/>
      <c r="M74" s="62"/>
      <c r="N74" s="62"/>
      <c r="O74" s="46">
        <f>IFERROR(__xludf.DUMMYFUNCTION("""COMPUTED_VALUE"""),0.0)</f>
        <v>0</v>
      </c>
      <c r="P74" s="47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67">
        <f>IFERROR(__xludf.DUMMYFUNCTION("""COMPUTED_VALUE"""),0.0)</f>
        <v>0</v>
      </c>
      <c r="C75" s="62"/>
      <c r="D75" s="62"/>
      <c r="E75" s="62">
        <f>IFERROR(__xludf.DUMMYFUNCTION("""COMPUTED_VALUE"""),0.0)</f>
        <v>0</v>
      </c>
      <c r="F75" s="62">
        <f>IFERROR(__xludf.DUMMYFUNCTION("""COMPUTED_VALUE"""),0.0)</f>
        <v>0</v>
      </c>
      <c r="G75" s="62">
        <f>IFERROR(__xludf.DUMMYFUNCTION("""COMPUTED_VALUE"""),0.0)</f>
        <v>0</v>
      </c>
      <c r="H75" s="24"/>
      <c r="I75" s="62">
        <f>IFERROR(__xludf.DUMMYFUNCTION("""COMPUTED_VALUE"""),0.0)</f>
        <v>0</v>
      </c>
      <c r="J75" s="62">
        <f>IFERROR(__xludf.DUMMYFUNCTION("""COMPUTED_VALUE"""),0.0)</f>
        <v>0</v>
      </c>
      <c r="K75" s="62"/>
      <c r="L75" s="62"/>
      <c r="M75" s="62"/>
      <c r="N75" s="62"/>
      <c r="O75" s="46">
        <f>IFERROR(__xludf.DUMMYFUNCTION("""COMPUTED_VALUE"""),0.0)</f>
        <v>0</v>
      </c>
      <c r="P75" s="47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67">
        <f>IFERROR(__xludf.DUMMYFUNCTION("""COMPUTED_VALUE"""),7700.0)</f>
        <v>7700</v>
      </c>
      <c r="C76" s="62"/>
      <c r="D76" s="62"/>
      <c r="E76" s="62">
        <f>IFERROR(__xludf.DUMMYFUNCTION("""COMPUTED_VALUE"""),23100.0)</f>
        <v>23100</v>
      </c>
      <c r="F76" s="62">
        <f>IFERROR(__xludf.DUMMYFUNCTION("""COMPUTED_VALUE"""),0.0)</f>
        <v>0</v>
      </c>
      <c r="G76" s="62">
        <f>IFERROR(__xludf.DUMMYFUNCTION("""COMPUTED_VALUE"""),0.0)</f>
        <v>0</v>
      </c>
      <c r="H76" s="24"/>
      <c r="I76" s="62">
        <f>IFERROR(__xludf.DUMMYFUNCTION("""COMPUTED_VALUE"""),0.0)</f>
        <v>0</v>
      </c>
      <c r="J76" s="62">
        <f>IFERROR(__xludf.DUMMYFUNCTION("""COMPUTED_VALUE"""),0.0)</f>
        <v>0</v>
      </c>
      <c r="K76" s="62"/>
      <c r="L76" s="62"/>
      <c r="M76" s="62"/>
      <c r="N76" s="62"/>
      <c r="O76" s="46">
        <f>IFERROR(__xludf.DUMMYFUNCTION("""COMPUTED_VALUE"""),30800.0)</f>
        <v>30800</v>
      </c>
      <c r="P76" s="47">
        <f>IFERROR(__xludf.DUMMYFUNCTION("""COMPUTED_VALUE"""),1.2116094292692756E-4)</f>
        <v>0.0001211609429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IFERROR(__xludf.DUMMYFUNCTION("""COMPUTED_VALUE"""),6679578.0)</f>
        <v>6679578</v>
      </c>
      <c r="C77" s="46">
        <f>IFERROR(__xludf.DUMMYFUNCTION("""COMPUTED_VALUE"""),6667226.0)</f>
        <v>6667226</v>
      </c>
      <c r="D77" s="46">
        <f>IFERROR(__xludf.DUMMYFUNCTION("""COMPUTED_VALUE"""),9635427.0)</f>
        <v>9635427</v>
      </c>
      <c r="E77" s="46">
        <f>IFERROR(__xludf.DUMMYFUNCTION("""COMPUTED_VALUE"""),6687715.0)</f>
        <v>6687715</v>
      </c>
      <c r="F77" s="46">
        <f>IFERROR(__xludf.DUMMYFUNCTION("""COMPUTED_VALUE"""),7030040.0)</f>
        <v>7030040</v>
      </c>
      <c r="G77" s="46">
        <f>IFERROR(__xludf.DUMMYFUNCTION("""COMPUTED_VALUE"""),7208347.0)</f>
        <v>7208347</v>
      </c>
      <c r="H77" s="46"/>
      <c r="I77" s="46">
        <f>IFERROR(__xludf.DUMMYFUNCTION("""COMPUTED_VALUE"""),7186318.0)</f>
        <v>7186318</v>
      </c>
      <c r="J77" s="46">
        <f>IFERROR(__xludf.DUMMYFUNCTION("""COMPUTED_VALUE"""),7202392.0)</f>
        <v>7202392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IFERROR(__xludf.DUMMYFUNCTION("""COMPUTED_VALUE"""),5.8297043E7)</f>
        <v>58297043</v>
      </c>
      <c r="P77" s="47">
        <f>IFERROR(__xludf.DUMMYFUNCTION("""COMPUTED_VALUE"""),0.2293287240172611)</f>
        <v>0.229328724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IFERROR(__xludf.DUMMYFUNCTION("""COMPUTED_VALUE"""),5430205.0)</f>
        <v>5430205</v>
      </c>
      <c r="C78" s="68">
        <f>IFERROR(__xludf.DUMMYFUNCTION("""COMPUTED_VALUE"""),5435799.0)</f>
        <v>5435799</v>
      </c>
      <c r="D78" s="68">
        <f>IFERROR(__xludf.DUMMYFUNCTION("""COMPUTED_VALUE"""),8292818.0)</f>
        <v>8292818</v>
      </c>
      <c r="E78" s="68">
        <f>IFERROR(__xludf.DUMMYFUNCTION("""COMPUTED_VALUE"""),5490052.0)</f>
        <v>5490052</v>
      </c>
      <c r="F78" s="68">
        <f>IFERROR(__xludf.DUMMYFUNCTION("""COMPUTED_VALUE"""),5446488.0)</f>
        <v>5446488</v>
      </c>
      <c r="G78" s="68">
        <f>IFERROR(__xludf.DUMMYFUNCTION("""COMPUTED_VALUE"""),5604461.0)</f>
        <v>5604461</v>
      </c>
      <c r="H78" s="69"/>
      <c r="I78" s="68">
        <f>IFERROR(__xludf.DUMMYFUNCTION("""COMPUTED_VALUE"""),5792000.0)</f>
        <v>5792000</v>
      </c>
      <c r="J78" s="68">
        <f>IFERROR(__xludf.DUMMYFUNCTION("""COMPUTED_VALUE"""),5754787.0)</f>
        <v>5754787</v>
      </c>
      <c r="K78" s="68"/>
      <c r="L78" s="68"/>
      <c r="M78" s="68"/>
      <c r="N78" s="68"/>
      <c r="O78" s="52">
        <f>IFERROR(__xludf.DUMMYFUNCTION("""COMPUTED_VALUE"""),4.724661E7)</f>
        <v>47246610</v>
      </c>
      <c r="P78" s="53">
        <f>IFERROR(__xludf.DUMMYFUNCTION("""COMPUTED_VALUE"""),0.8104460804298427)</f>
        <v>0.8104460804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IFERROR(__xludf.DUMMYFUNCTION("""COMPUTED_VALUE"""),380187.0)</f>
        <v>380187</v>
      </c>
      <c r="C79" s="68">
        <f>IFERROR(__xludf.DUMMYFUNCTION("""COMPUTED_VALUE"""),375596.0)</f>
        <v>375596</v>
      </c>
      <c r="D79" s="68">
        <f>IFERROR(__xludf.DUMMYFUNCTION("""COMPUTED_VALUE"""),368921.0)</f>
        <v>368921</v>
      </c>
      <c r="E79" s="68">
        <f>IFERROR(__xludf.DUMMYFUNCTION("""COMPUTED_VALUE"""),332208.0)</f>
        <v>332208</v>
      </c>
      <c r="F79" s="68">
        <f>IFERROR(__xludf.DUMMYFUNCTION("""COMPUTED_VALUE"""),499726.0)</f>
        <v>499726</v>
      </c>
      <c r="G79" s="68">
        <f>IFERROR(__xludf.DUMMYFUNCTION("""COMPUTED_VALUE"""),527476.0)</f>
        <v>527476</v>
      </c>
      <c r="H79" s="24"/>
      <c r="I79" s="68">
        <f>IFERROR(__xludf.DUMMYFUNCTION("""COMPUTED_VALUE"""),390692.0)</f>
        <v>390692</v>
      </c>
      <c r="J79" s="68">
        <f>IFERROR(__xludf.DUMMYFUNCTION("""COMPUTED_VALUE"""),414913.0)</f>
        <v>414913</v>
      </c>
      <c r="K79" s="68"/>
      <c r="L79" s="68"/>
      <c r="M79" s="68"/>
      <c r="N79" s="68"/>
      <c r="O79" s="52">
        <f>IFERROR(__xludf.DUMMYFUNCTION("""COMPUTED_VALUE"""),3289719.0)</f>
        <v>3289719</v>
      </c>
      <c r="P79" s="53">
        <f>IFERROR(__xludf.DUMMYFUNCTION("""COMPUTED_VALUE"""),0.0564302892687027)</f>
        <v>0.05643028927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IFERROR(__xludf.DUMMYFUNCTION("""COMPUTED_VALUE"""),866386.0)</f>
        <v>866386</v>
      </c>
      <c r="C80" s="68">
        <f>IFERROR(__xludf.DUMMYFUNCTION("""COMPUTED_VALUE"""),851631.0)</f>
        <v>851631</v>
      </c>
      <c r="D80" s="68">
        <f>IFERROR(__xludf.DUMMYFUNCTION("""COMPUTED_VALUE"""),960038.0)</f>
        <v>960038</v>
      </c>
      <c r="E80" s="68">
        <f>IFERROR(__xludf.DUMMYFUNCTION("""COMPUTED_VALUE"""),847955.0)</f>
        <v>847955</v>
      </c>
      <c r="F80" s="68">
        <f>IFERROR(__xludf.DUMMYFUNCTION("""COMPUTED_VALUE"""),1080676.0)</f>
        <v>1080676</v>
      </c>
      <c r="G80" s="68">
        <f>IFERROR(__xludf.DUMMYFUNCTION("""COMPUTED_VALUE"""),1022332.0)</f>
        <v>1022332</v>
      </c>
      <c r="H80" s="24"/>
      <c r="I80" s="68">
        <f>IFERROR(__xludf.DUMMYFUNCTION("""COMPUTED_VALUE"""),970551.0)</f>
        <v>970551</v>
      </c>
      <c r="J80" s="68">
        <f>IFERROR(__xludf.DUMMYFUNCTION("""COMPUTED_VALUE"""),993748.0)</f>
        <v>993748</v>
      </c>
      <c r="K80" s="68"/>
      <c r="L80" s="68"/>
      <c r="M80" s="68"/>
      <c r="N80" s="68"/>
      <c r="O80" s="52">
        <f>IFERROR(__xludf.DUMMYFUNCTION("""COMPUTED_VALUE"""),7593317.0)</f>
        <v>7593317</v>
      </c>
      <c r="P80" s="53">
        <f>IFERROR(__xludf.DUMMYFUNCTION("""COMPUTED_VALUE"""),0.13025218105830857)</f>
        <v>0.1302521811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IFERROR(__xludf.DUMMYFUNCTION("""COMPUTED_VALUE"""),2800.0)</f>
        <v>2800</v>
      </c>
      <c r="C81" s="68">
        <f>IFERROR(__xludf.DUMMYFUNCTION("""COMPUTED_VALUE"""),4200.0)</f>
        <v>4200</v>
      </c>
      <c r="D81" s="68">
        <f>IFERROR(__xludf.DUMMYFUNCTION("""COMPUTED_VALUE"""),13650.0)</f>
        <v>13650</v>
      </c>
      <c r="E81" s="68">
        <f>IFERROR(__xludf.DUMMYFUNCTION("""COMPUTED_VALUE"""),17500.0)</f>
        <v>17500</v>
      </c>
      <c r="F81" s="68">
        <f>IFERROR(__xludf.DUMMYFUNCTION("""COMPUTED_VALUE"""),3150.0)</f>
        <v>3150</v>
      </c>
      <c r="G81" s="68">
        <f>IFERROR(__xludf.DUMMYFUNCTION("""COMPUTED_VALUE"""),54078.0)</f>
        <v>54078</v>
      </c>
      <c r="H81" s="24"/>
      <c r="I81" s="68">
        <f>IFERROR(__xludf.DUMMYFUNCTION("""COMPUTED_VALUE"""),33075.0)</f>
        <v>33075</v>
      </c>
      <c r="J81" s="68">
        <f>IFERROR(__xludf.DUMMYFUNCTION("""COMPUTED_VALUE"""),38944.0)</f>
        <v>38944</v>
      </c>
      <c r="K81" s="68"/>
      <c r="L81" s="68"/>
      <c r="M81" s="68"/>
      <c r="N81" s="68"/>
      <c r="O81" s="52">
        <f>IFERROR(__xludf.DUMMYFUNCTION("""COMPUTED_VALUE"""),167397.0)</f>
        <v>167397</v>
      </c>
      <c r="P81" s="53">
        <f>IFERROR(__xludf.DUMMYFUNCTION("""COMPUTED_VALUE"""),0.002871449243146003)</f>
        <v>0.002871449243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62"/>
      <c r="D82" s="62"/>
      <c r="E82" s="62"/>
      <c r="F82" s="62"/>
      <c r="G82" s="62"/>
      <c r="H82" s="24"/>
      <c r="I82" s="62"/>
      <c r="J82" s="62"/>
      <c r="K82" s="62"/>
      <c r="L82" s="62"/>
      <c r="M82" s="62"/>
      <c r="N82" s="62"/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67">
        <f>IFERROR(__xludf.DUMMYFUNCTION("""COMPUTED_VALUE"""),0.0)</f>
        <v>0</v>
      </c>
      <c r="C83" s="62"/>
      <c r="D83" s="62"/>
      <c r="E83" s="62">
        <f>IFERROR(__xludf.DUMMYFUNCTION("""COMPUTED_VALUE"""),0.0)</f>
        <v>0</v>
      </c>
      <c r="F83" s="62">
        <f>IFERROR(__xludf.DUMMYFUNCTION("""COMPUTED_VALUE"""),0.0)</f>
        <v>0</v>
      </c>
      <c r="G83" s="62">
        <f>IFERROR(__xludf.DUMMYFUNCTION("""COMPUTED_VALUE"""),0.0)</f>
        <v>0</v>
      </c>
      <c r="H83" s="24"/>
      <c r="I83" s="62"/>
      <c r="J83" s="62">
        <f>IFERROR(__xludf.DUMMYFUNCTION("""COMPUTED_VALUE"""),0.0)</f>
        <v>0</v>
      </c>
      <c r="K83" s="62"/>
      <c r="L83" s="62"/>
      <c r="M83" s="62"/>
      <c r="N83" s="62"/>
      <c r="O83" s="46">
        <f>IFERROR(__xludf.DUMMYFUNCTION("""COMPUTED_VALUE"""),0.0)</f>
        <v>0</v>
      </c>
      <c r="P83" s="47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IFERROR(__xludf.DUMMYFUNCTION("""COMPUTED_VALUE"""),27802.0)</f>
        <v>27802</v>
      </c>
      <c r="C84" s="46">
        <f>IFERROR(__xludf.DUMMYFUNCTION("""COMPUTED_VALUE"""),33660.0)</f>
        <v>33660</v>
      </c>
      <c r="D84" s="46">
        <f>IFERROR(__xludf.DUMMYFUNCTION("""COMPUTED_VALUE"""),33330.0)</f>
        <v>33330</v>
      </c>
      <c r="E84" s="46">
        <f>IFERROR(__xludf.DUMMYFUNCTION("""COMPUTED_VALUE"""),39465.0)</f>
        <v>39465</v>
      </c>
      <c r="F84" s="46">
        <f>IFERROR(__xludf.DUMMYFUNCTION("""COMPUTED_VALUE"""),119750.0)</f>
        <v>119750</v>
      </c>
      <c r="G84" s="46">
        <f>IFERROR(__xludf.DUMMYFUNCTION("""COMPUTED_VALUE"""),46617.0)</f>
        <v>46617</v>
      </c>
      <c r="H84" s="24"/>
      <c r="I84" s="46">
        <f>IFERROR(__xludf.DUMMYFUNCTION("""COMPUTED_VALUE"""),31696.0)</f>
        <v>31696</v>
      </c>
      <c r="J84" s="46">
        <f>IFERROR(__xludf.DUMMYFUNCTION("""COMPUTED_VALUE"""),32570.0)</f>
        <v>32570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IFERROR(__xludf.DUMMYFUNCTION("""COMPUTED_VALUE"""),364890.0)</f>
        <v>364890</v>
      </c>
      <c r="P84" s="47">
        <f>IFERROR(__xludf.DUMMYFUNCTION("""COMPUTED_VALUE"""),0.0014354031319677467)</f>
        <v>0.001435403132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67">
        <f>IFERROR(__xludf.DUMMYFUNCTION("""COMPUTED_VALUE"""),27802.0)</f>
        <v>27802</v>
      </c>
      <c r="C85" s="68">
        <f>IFERROR(__xludf.DUMMYFUNCTION("""COMPUTED_VALUE"""),33660.0)</f>
        <v>33660</v>
      </c>
      <c r="D85" s="68">
        <f>IFERROR(__xludf.DUMMYFUNCTION("""COMPUTED_VALUE"""),33330.0)</f>
        <v>33330</v>
      </c>
      <c r="E85" s="68">
        <f>IFERROR(__xludf.DUMMYFUNCTION("""COMPUTED_VALUE"""),36465.0)</f>
        <v>36465</v>
      </c>
      <c r="F85" s="68">
        <f>IFERROR(__xludf.DUMMYFUNCTION("""COMPUTED_VALUE"""),35750.0)</f>
        <v>35750</v>
      </c>
      <c r="G85" s="68">
        <f>IFERROR(__xludf.DUMMYFUNCTION("""COMPUTED_VALUE"""),35117.0)</f>
        <v>35117</v>
      </c>
      <c r="H85" s="24"/>
      <c r="I85" s="68">
        <f>IFERROR(__xludf.DUMMYFUNCTION("""COMPUTED_VALUE"""),31696.0)</f>
        <v>31696</v>
      </c>
      <c r="J85" s="68">
        <f>IFERROR(__xludf.DUMMYFUNCTION("""COMPUTED_VALUE"""),31570.0)</f>
        <v>31570</v>
      </c>
      <c r="K85" s="68"/>
      <c r="L85" s="68"/>
      <c r="M85" s="68"/>
      <c r="N85" s="68"/>
      <c r="O85" s="52">
        <f>IFERROR(__xludf.DUMMYFUNCTION("""COMPUTED_VALUE"""),265390.0)</f>
        <v>265390</v>
      </c>
      <c r="P85" s="53">
        <f>IFERROR(__xludf.DUMMYFUNCTION("""COMPUTED_VALUE"""),0.7273150812573652)</f>
        <v>0.7273150813</v>
      </c>
      <c r="Q85" s="16"/>
    </row>
    <row r="86" ht="15.75" customHeight="1">
      <c r="A86" s="51" t="str">
        <f>IFERROR(__xludf.DUMMYFUNCTION("""COMPUTED_VALUE"""),"電話代行料")</f>
        <v>電話代行料</v>
      </c>
      <c r="B86" s="67"/>
      <c r="C86" s="68"/>
      <c r="D86" s="68"/>
      <c r="E86" s="68">
        <f>IFERROR(__xludf.DUMMYFUNCTION("""COMPUTED_VALUE"""),0.0)</f>
        <v>0</v>
      </c>
      <c r="F86" s="68">
        <f>IFERROR(__xludf.DUMMYFUNCTION("""COMPUTED_VALUE"""),0.0)</f>
        <v>0</v>
      </c>
      <c r="G86" s="68">
        <f>IFERROR(__xludf.DUMMYFUNCTION("""COMPUTED_VALUE"""),0.0)</f>
        <v>0</v>
      </c>
      <c r="H86" s="24"/>
      <c r="I86" s="68">
        <f>IFERROR(__xludf.DUMMYFUNCTION("""COMPUTED_VALUE"""),0.0)</f>
        <v>0</v>
      </c>
      <c r="J86" s="68">
        <f>IFERROR(__xludf.DUMMYFUNCTION("""COMPUTED_VALUE"""),0.0)</f>
        <v>0</v>
      </c>
      <c r="K86" s="68">
        <f>IFERROR(__xludf.DUMMYFUNCTION("""COMPUTED_VALUE"""),0.0)</f>
        <v>0</v>
      </c>
      <c r="L86" s="68">
        <f>IFERROR(__xludf.DUMMYFUNCTION("""COMPUTED_VALUE"""),0.0)</f>
        <v>0</v>
      </c>
      <c r="M86" s="68">
        <f>IFERROR(__xludf.DUMMYFUNCTION("""COMPUTED_VALUE"""),0.0)</f>
        <v>0</v>
      </c>
      <c r="N86" s="68">
        <f>IFERROR(__xludf.DUMMYFUNCTION("""COMPUTED_VALUE"""),0.0)</f>
        <v>0</v>
      </c>
      <c r="O86" s="52">
        <f>IFERROR(__xludf.DUMMYFUNCTION("""COMPUTED_VALUE"""),0.0)</f>
        <v>0</v>
      </c>
      <c r="P86" s="53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68"/>
      <c r="D87" s="68"/>
      <c r="E87" s="68">
        <f>IFERROR(__xludf.DUMMYFUNCTION("""COMPUTED_VALUE"""),0.0)</f>
        <v>0</v>
      </c>
      <c r="F87" s="68">
        <f>IFERROR(__xludf.DUMMYFUNCTION("""COMPUTED_VALUE"""),0.0)</f>
        <v>0</v>
      </c>
      <c r="G87" s="68">
        <f>IFERROR(__xludf.DUMMYFUNCTION("""COMPUTED_VALUE"""),0.0)</f>
        <v>0</v>
      </c>
      <c r="H87" s="24"/>
      <c r="I87" s="68">
        <f>IFERROR(__xludf.DUMMYFUNCTION("""COMPUTED_VALUE"""),0.0)</f>
        <v>0</v>
      </c>
      <c r="J87" s="68">
        <f>IFERROR(__xludf.DUMMYFUNCTION("""COMPUTED_VALUE"""),0.0)</f>
        <v>0</v>
      </c>
      <c r="K87" s="68">
        <f>IFERROR(__xludf.DUMMYFUNCTION("""COMPUTED_VALUE"""),0.0)</f>
        <v>0</v>
      </c>
      <c r="L87" s="68">
        <f>IFERROR(__xludf.DUMMYFUNCTION("""COMPUTED_VALUE"""),0.0)</f>
        <v>0</v>
      </c>
      <c r="M87" s="68">
        <f>IFERROR(__xludf.DUMMYFUNCTION("""COMPUTED_VALUE"""),0.0)</f>
        <v>0</v>
      </c>
      <c r="N87" s="68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67">
        <f>IFERROR(__xludf.DUMMYFUNCTION("""COMPUTED_VALUE"""),0.0)</f>
        <v>0</v>
      </c>
      <c r="C88" s="68"/>
      <c r="D88" s="68"/>
      <c r="E88" s="68">
        <f>IFERROR(__xludf.DUMMYFUNCTION("""COMPUTED_VALUE"""),3000.0)</f>
        <v>3000</v>
      </c>
      <c r="F88" s="68">
        <f>IFERROR(__xludf.DUMMYFUNCTION("""COMPUTED_VALUE"""),84000.0)</f>
        <v>84000</v>
      </c>
      <c r="G88" s="68">
        <f>IFERROR(__xludf.DUMMYFUNCTION("""COMPUTED_VALUE"""),11500.0)</f>
        <v>11500</v>
      </c>
      <c r="H88" s="24"/>
      <c r="I88" s="68">
        <f>IFERROR(__xludf.DUMMYFUNCTION("""COMPUTED_VALUE"""),0.0)</f>
        <v>0</v>
      </c>
      <c r="J88" s="68">
        <f>IFERROR(__xludf.DUMMYFUNCTION("""COMPUTED_VALUE"""),1000.0)</f>
        <v>1000</v>
      </c>
      <c r="K88" s="68">
        <f>IFERROR(__xludf.DUMMYFUNCTION("""COMPUTED_VALUE"""),0.0)</f>
        <v>0</v>
      </c>
      <c r="L88" s="68">
        <f>IFERROR(__xludf.DUMMYFUNCTION("""COMPUTED_VALUE"""),0.0)</f>
        <v>0</v>
      </c>
      <c r="M88" s="68">
        <f>IFERROR(__xludf.DUMMYFUNCTION("""COMPUTED_VALUE"""),0.0)</f>
        <v>0</v>
      </c>
      <c r="N88" s="68">
        <f>IFERROR(__xludf.DUMMYFUNCTION("""COMPUTED_VALUE"""),0.0)</f>
        <v>0</v>
      </c>
      <c r="O88" s="52">
        <f>IFERROR(__xludf.DUMMYFUNCTION("""COMPUTED_VALUE"""),99500.0)</f>
        <v>99500</v>
      </c>
      <c r="P88" s="53">
        <f>IFERROR(__xludf.DUMMYFUNCTION("""COMPUTED_VALUE"""),0.2726849187426348)</f>
        <v>0.2726849187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IFERROR(__xludf.DUMMYFUNCTION("""COMPUTED_VALUE"""),1200540.0)</f>
        <v>1200540</v>
      </c>
      <c r="C89" s="46">
        <f>IFERROR(__xludf.DUMMYFUNCTION("""COMPUTED_VALUE"""),970310.0)</f>
        <v>970310</v>
      </c>
      <c r="D89" s="46">
        <f>IFERROR(__xludf.DUMMYFUNCTION("""COMPUTED_VALUE"""),808652.0)</f>
        <v>808652</v>
      </c>
      <c r="E89" s="46">
        <f>IFERROR(__xludf.DUMMYFUNCTION("""COMPUTED_VALUE"""),1565620.0)</f>
        <v>1565620</v>
      </c>
      <c r="F89" s="46">
        <f>IFERROR(__xludf.DUMMYFUNCTION("""COMPUTED_VALUE"""),589342.0)</f>
        <v>589342</v>
      </c>
      <c r="G89" s="46">
        <f>IFERROR(__xludf.DUMMYFUNCTION("""COMPUTED_VALUE"""),642453.0)</f>
        <v>642453</v>
      </c>
      <c r="H89" s="46"/>
      <c r="I89" s="46">
        <f>IFERROR(__xludf.DUMMYFUNCTION("""COMPUTED_VALUE"""),1189270.0)</f>
        <v>1189270</v>
      </c>
      <c r="J89" s="46">
        <f>IFERROR(__xludf.DUMMYFUNCTION("""COMPUTED_VALUE"""),1108370.0)</f>
        <v>1108370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IFERROR(__xludf.DUMMYFUNCTION("""COMPUTED_VALUE"""),8074557.0)</f>
        <v>8074557</v>
      </c>
      <c r="P89" s="47">
        <f>IFERROR(__xludf.DUMMYFUNCTION("""COMPUTED_VALUE"""),0.03176366687783193)</f>
        <v>0.03176366688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67">
        <f>IFERROR(__xludf.DUMMYFUNCTION("""COMPUTED_VALUE"""),540540.0)</f>
        <v>540540</v>
      </c>
      <c r="C90" s="68">
        <f>IFERROR(__xludf.DUMMYFUNCTION("""COMPUTED_VALUE"""),739310.0)</f>
        <v>739310</v>
      </c>
      <c r="D90" s="68">
        <f>IFERROR(__xludf.DUMMYFUNCTION("""COMPUTED_VALUE"""),540430.0)</f>
        <v>540430</v>
      </c>
      <c r="E90" s="68">
        <f>IFERROR(__xludf.DUMMYFUNCTION("""COMPUTED_VALUE"""),514030.0)</f>
        <v>514030</v>
      </c>
      <c r="F90" s="68">
        <f>IFERROR(__xludf.DUMMYFUNCTION("""COMPUTED_VALUE"""),312400.0)</f>
        <v>312400</v>
      </c>
      <c r="G90" s="68">
        <f>IFERROR(__xludf.DUMMYFUNCTION("""COMPUTED_VALUE"""),370040.0)</f>
        <v>370040</v>
      </c>
      <c r="H90" s="24"/>
      <c r="I90" s="68">
        <f>IFERROR(__xludf.DUMMYFUNCTION("""COMPUTED_VALUE"""),272470.0)</f>
        <v>272470</v>
      </c>
      <c r="J90" s="68">
        <f>IFERROR(__xludf.DUMMYFUNCTION("""COMPUTED_VALUE"""),271700.0)</f>
        <v>271700</v>
      </c>
      <c r="K90" s="68"/>
      <c r="L90" s="68"/>
      <c r="M90" s="68"/>
      <c r="N90" s="68"/>
      <c r="O90" s="52">
        <f>IFERROR(__xludf.DUMMYFUNCTION("""COMPUTED_VALUE"""),3560920.0)</f>
        <v>3560920</v>
      </c>
      <c r="P90" s="53">
        <f>IFERROR(__xludf.DUMMYFUNCTION("""COMPUTED_VALUE"""),0.4410049987881688)</f>
        <v>0.4410049988</v>
      </c>
      <c r="Q90" s="16"/>
    </row>
    <row r="91" ht="15.75" customHeight="1">
      <c r="A91" s="51" t="str">
        <f>IFERROR(__xludf.DUMMYFUNCTION("""COMPUTED_VALUE"""),"その他")</f>
        <v>その他</v>
      </c>
      <c r="B91" s="67">
        <f>IFERROR(__xludf.DUMMYFUNCTION("""COMPUTED_VALUE"""),660000.0)</f>
        <v>660000</v>
      </c>
      <c r="C91" s="68">
        <f>IFERROR(__xludf.DUMMYFUNCTION("""COMPUTED_VALUE"""),231000.0)</f>
        <v>231000</v>
      </c>
      <c r="D91" s="68">
        <f>IFERROR(__xludf.DUMMYFUNCTION("""COMPUTED_VALUE"""),268222.0)</f>
        <v>268222</v>
      </c>
      <c r="E91" s="68">
        <f>IFERROR(__xludf.DUMMYFUNCTION("""COMPUTED_VALUE"""),1051590.0)</f>
        <v>1051590</v>
      </c>
      <c r="F91" s="68">
        <f>IFERROR(__xludf.DUMMYFUNCTION("""COMPUTED_VALUE"""),276942.0)</f>
        <v>276942</v>
      </c>
      <c r="G91" s="68">
        <f>IFERROR(__xludf.DUMMYFUNCTION("""COMPUTED_VALUE"""),272413.0)</f>
        <v>272413</v>
      </c>
      <c r="H91" s="24"/>
      <c r="I91" s="68">
        <f>IFERROR(__xludf.DUMMYFUNCTION("""COMPUTED_VALUE"""),916800.0)</f>
        <v>916800</v>
      </c>
      <c r="J91" s="68">
        <f>IFERROR(__xludf.DUMMYFUNCTION("""COMPUTED_VALUE"""),836670.0)</f>
        <v>836670</v>
      </c>
      <c r="K91" s="68"/>
      <c r="L91" s="68"/>
      <c r="M91" s="68"/>
      <c r="N91" s="68"/>
      <c r="O91" s="52">
        <f>IFERROR(__xludf.DUMMYFUNCTION("""COMPUTED_VALUE"""),4513637.0)</f>
        <v>4513637</v>
      </c>
      <c r="P91" s="53">
        <f>IFERROR(__xludf.DUMMYFUNCTION("""COMPUTED_VALUE"""),0.5589950012118312)</f>
        <v>0.5589950012</v>
      </c>
      <c r="Q91" s="16"/>
    </row>
    <row r="92" ht="15.75" customHeight="1">
      <c r="A92" s="48" t="str">
        <f>IFERROR(__xludf.DUMMYFUNCTION("""COMPUTED_VALUE"""),"制作費")</f>
        <v>制作費</v>
      </c>
      <c r="B92" s="67">
        <f>IFERROR(__xludf.DUMMYFUNCTION("""COMPUTED_VALUE"""),0.0)</f>
        <v>0</v>
      </c>
      <c r="C92" s="62"/>
      <c r="D92" s="62"/>
      <c r="E92" s="62">
        <f>IFERROR(__xludf.DUMMYFUNCTION("""COMPUTED_VALUE"""),0.0)</f>
        <v>0</v>
      </c>
      <c r="F92" s="62">
        <f>IFERROR(__xludf.DUMMYFUNCTION("""COMPUTED_VALUE"""),0.0)</f>
        <v>0</v>
      </c>
      <c r="G92" s="62">
        <f>IFERROR(__xludf.DUMMYFUNCTION("""COMPUTED_VALUE"""),0.0)</f>
        <v>0</v>
      </c>
      <c r="H92" s="24"/>
      <c r="I92" s="62">
        <f>IFERROR(__xludf.DUMMYFUNCTION("""COMPUTED_VALUE"""),0.0)</f>
        <v>0</v>
      </c>
      <c r="J92" s="62">
        <f>IFERROR(__xludf.DUMMYFUNCTION("""COMPUTED_VALUE"""),0.0)</f>
        <v>0</v>
      </c>
      <c r="K92" s="62"/>
      <c r="L92" s="62"/>
      <c r="M92" s="62"/>
      <c r="N92" s="62"/>
      <c r="O92" s="46">
        <f>IFERROR(__xludf.DUMMYFUNCTION("""COMPUTED_VALUE"""),0.0)</f>
        <v>0</v>
      </c>
      <c r="P92" s="47">
        <f>IFERROR(__xludf.DUMMYFUNCTION("""COMPUTED_VALUE"""),0.0)</f>
        <v>0</v>
      </c>
      <c r="Q92" s="16"/>
    </row>
    <row r="93" ht="15.75" customHeight="1">
      <c r="A93" s="48" t="str">
        <f>IFERROR(__xludf.DUMMYFUNCTION("""COMPUTED_VALUE"""),"販売促進費")</f>
        <v>販売促進費</v>
      </c>
      <c r="B93" s="67">
        <f>IFERROR(__xludf.DUMMYFUNCTION("""COMPUTED_VALUE"""),1140000.0)</f>
        <v>1140000</v>
      </c>
      <c r="C93" s="62">
        <f>IFERROR(__xludf.DUMMYFUNCTION("""COMPUTED_VALUE"""),1950000.0)</f>
        <v>1950000</v>
      </c>
      <c r="D93" s="62">
        <f>IFERROR(__xludf.DUMMYFUNCTION("""COMPUTED_VALUE"""),1692300.0)</f>
        <v>1692300</v>
      </c>
      <c r="E93" s="62">
        <f>IFERROR(__xludf.DUMMYFUNCTION("""COMPUTED_VALUE"""),1697000.0)</f>
        <v>1697000</v>
      </c>
      <c r="F93" s="62">
        <f>IFERROR(__xludf.DUMMYFUNCTION("""COMPUTED_VALUE"""),1523000.0)</f>
        <v>1523000</v>
      </c>
      <c r="G93" s="62">
        <f>IFERROR(__xludf.DUMMYFUNCTION("""COMPUTED_VALUE"""),1198000.0)</f>
        <v>1198000</v>
      </c>
      <c r="H93" s="24"/>
      <c r="I93" s="62">
        <f>IFERROR(__xludf.DUMMYFUNCTION("""COMPUTED_VALUE"""),1495000.0)</f>
        <v>1495000</v>
      </c>
      <c r="J93" s="62">
        <f>IFERROR(__xludf.DUMMYFUNCTION("""COMPUTED_VALUE"""),1402000.0)</f>
        <v>1402000</v>
      </c>
      <c r="K93" s="62"/>
      <c r="L93" s="62"/>
      <c r="M93" s="62"/>
      <c r="N93" s="62"/>
      <c r="O93" s="46">
        <f>IFERROR(__xludf.DUMMYFUNCTION("""COMPUTED_VALUE"""),1.20973E7)</f>
        <v>12097300</v>
      </c>
      <c r="P93" s="47">
        <f>IFERROR(__xludf.DUMMYFUNCTION("""COMPUTED_VALUE"""),0.04758832061265977)</f>
        <v>0.04758832061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55"/>
      <c r="D94" s="55"/>
      <c r="E94" s="55"/>
      <c r="F94" s="55"/>
      <c r="G94" s="55"/>
      <c r="H94" s="24"/>
      <c r="I94" s="55"/>
      <c r="J94" s="55"/>
      <c r="K94" s="55"/>
      <c r="L94" s="55"/>
      <c r="M94" s="55"/>
      <c r="N94" s="55"/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IFERROR(__xludf.DUMMYFUNCTION("""COMPUTED_VALUE"""),0.4579870798541324)</f>
        <v>0.4579870799</v>
      </c>
      <c r="C96" s="56">
        <f>IFERROR(__xludf.DUMMYFUNCTION("""COMPUTED_VALUE"""),0.2351222990728008)</f>
        <v>0.2351222991</v>
      </c>
      <c r="D96" s="56">
        <f>IFERROR(__xludf.DUMMYFUNCTION("""COMPUTED_VALUE"""),0.20443298614828118)</f>
        <v>0.2044329861</v>
      </c>
      <c r="E96" s="56">
        <f>IFERROR(__xludf.DUMMYFUNCTION("""COMPUTED_VALUE"""),0.2246497029523738)</f>
        <v>0.224649703</v>
      </c>
      <c r="F96" s="56">
        <f>IFERROR(__xludf.DUMMYFUNCTION("""COMPUTED_VALUE"""),0.23872345373629741)</f>
        <v>0.2387234537</v>
      </c>
      <c r="G96" s="56">
        <f>IFERROR(__xludf.DUMMYFUNCTION("""COMPUTED_VALUE"""),0.2790476073730525)</f>
        <v>0.2790476074</v>
      </c>
      <c r="H96" s="24"/>
      <c r="I96" s="56">
        <f>IFERROR(__xludf.DUMMYFUNCTION("""COMPUTED_VALUE"""),0.2381154512227056)</f>
        <v>0.2381154512</v>
      </c>
      <c r="J96" s="56">
        <f>IFERROR(__xludf.DUMMYFUNCTION("""COMPUTED_VALUE"""),0.17064767038639791)</f>
        <v>0.1706476704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IFERROR(__xludf.DUMMYFUNCTION("""COMPUTED_VALUE"""),0.2548694815816438)</f>
        <v>0.2548694816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IFERROR(__xludf.DUMMYFUNCTION("""COMPUTED_VALUE"""),0.11842837042195786)</f>
        <v>0.1184283704</v>
      </c>
      <c r="C97" s="56">
        <f>IFERROR(__xludf.DUMMYFUNCTION("""COMPUTED_VALUE"""),0.07564667946501105)</f>
        <v>0.07564667947</v>
      </c>
      <c r="D97" s="56">
        <f>IFERROR(__xludf.DUMMYFUNCTION("""COMPUTED_VALUE"""),0.12734207177096096)</f>
        <v>0.1273420718</v>
      </c>
      <c r="E97" s="56">
        <f>IFERROR(__xludf.DUMMYFUNCTION("""COMPUTED_VALUE"""),0.10199175292603979)</f>
        <v>0.1019917529</v>
      </c>
      <c r="F97" s="56">
        <f>IFERROR(__xludf.DUMMYFUNCTION("""COMPUTED_VALUE"""),0.1418208106875232)</f>
        <v>0.1418208107</v>
      </c>
      <c r="G97" s="56">
        <f>IFERROR(__xludf.DUMMYFUNCTION("""COMPUTED_VALUE"""),0.17428410892919102)</f>
        <v>0.1742841089</v>
      </c>
      <c r="H97" s="24"/>
      <c r="I97" s="56">
        <f>IFERROR(__xludf.DUMMYFUNCTION("""COMPUTED_VALUE"""),0.15813463954775406)</f>
        <v>0.1581346395</v>
      </c>
      <c r="J97" s="56">
        <f>IFERROR(__xludf.DUMMYFUNCTION("""COMPUTED_VALUE"""),0.18074117162437744)</f>
        <v>0.1807411716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 t="str">
        <f>IFERROR(__xludf.DUMMYFUNCTION("""COMPUTED_VALUE"""),"")</f>
        <v/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IFERROR(__xludf.DUMMYFUNCTION("""COMPUTED_VALUE"""),2103130.272727273)</f>
        <v>2103130.273</v>
      </c>
      <c r="C98" s="46">
        <f>IFERROR(__xludf.DUMMYFUNCTION("""COMPUTED_VALUE"""),5519361.7272727275)</f>
        <v>5519361.727</v>
      </c>
      <c r="D98" s="46">
        <f>IFERROR(__xludf.DUMMYFUNCTION("""COMPUTED_VALUE"""),4904290.909090909)</f>
        <v>4904290.909</v>
      </c>
      <c r="E98" s="46">
        <f>IFERROR(__xludf.DUMMYFUNCTION("""COMPUTED_VALUE"""),3929633.5454545454)</f>
        <v>3929633.545</v>
      </c>
      <c r="F98" s="46">
        <f>IFERROR(__xludf.DUMMYFUNCTION("""COMPUTED_VALUE"""),2882332.090909091)</f>
        <v>2882332.091</v>
      </c>
      <c r="G98" s="46">
        <f>IFERROR(__xludf.DUMMYFUNCTION("""COMPUTED_VALUE"""),2254894.272727273)</f>
        <v>2254894.273</v>
      </c>
      <c r="H98" s="46"/>
      <c r="I98" s="46">
        <f>IFERROR(__xludf.DUMMYFUNCTION("""COMPUTED_VALUE"""),2572631.3636363638)</f>
        <v>2572631.364</v>
      </c>
      <c r="J98" s="46">
        <f>IFERROR(__xludf.DUMMYFUNCTION("""COMPUTED_VALUE"""),2442517.4545454546)</f>
        <v>2442517.455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IFERROR(__xludf.DUMMYFUNCTION("""COMPUTED_VALUE"""),2.660879163636364E7)</f>
        <v>26608791.64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/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IFERROR(__xludf.DUMMYFUNCTION("""COMPUTED_VALUE"""),1.4351724727272727E7)</f>
        <v>14351724.73</v>
      </c>
      <c r="C100" s="44">
        <f>IFERROR(__xludf.DUMMYFUNCTION("""COMPUTED_VALUE"""),4.852639127272727E7)</f>
        <v>48526391.27</v>
      </c>
      <c r="D100" s="44">
        <f>IFERROR(__xludf.DUMMYFUNCTION("""COMPUTED_VALUE"""),3.940748209090909E7)</f>
        <v>39407482.09</v>
      </c>
      <c r="E100" s="44">
        <f>IFERROR(__xludf.DUMMYFUNCTION("""COMPUTED_VALUE"""),3.2608620454545453E7)</f>
        <v>32608620.45</v>
      </c>
      <c r="F100" s="44">
        <f>IFERROR(__xludf.DUMMYFUNCTION("""COMPUTED_VALUE"""),2.179328090909091E7)</f>
        <v>21793280.91</v>
      </c>
      <c r="G100" s="44">
        <f>IFERROR(__xludf.DUMMYFUNCTION("""COMPUTED_VALUE"""),1.5340595727272727E7)</f>
        <v>15340595.73</v>
      </c>
      <c r="H100" s="24"/>
      <c r="I100" s="44">
        <f>IFERROR(__xludf.DUMMYFUNCTION("""COMPUTED_VALUE"""),1.8539995636363637E7)</f>
        <v>18539995.64</v>
      </c>
      <c r="J100" s="44">
        <f>IFERROR(__xludf.DUMMYFUNCTION("""COMPUTED_VALUE"""),1.7222782545454547E7)</f>
        <v>17222782.55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IFERROR(__xludf.DUMMYFUNCTION("""COMPUTED_VALUE"""),2.0779087336363637E8)</f>
        <v>207790873.4</v>
      </c>
      <c r="P100" s="45">
        <f>IFERROR(__xludf.DUMMYFUNCTION("""COMPUTED_VALUE"""),0.4497655426250766)</f>
        <v>0.4497655426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IFERROR(__xludf.DUMMYFUNCTION("""COMPUTED_VALUE"""),0.0)</f>
        <v>0</v>
      </c>
      <c r="F101" s="46">
        <f>IFERROR(__xludf.DUMMYFUNCTION("""COMPUTED_VALUE"""),0.0)</f>
        <v>0</v>
      </c>
      <c r="G101" s="46">
        <f>IFERROR(__xludf.DUMMYFUNCTION("""COMPUTED_VALUE"""),0.0)</f>
        <v>0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IFERROR(__xludf.DUMMYFUNCTION("""COMPUTED_VALUE"""),0.0)</f>
        <v>0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68"/>
      <c r="D102" s="68"/>
      <c r="E102" s="68"/>
      <c r="F102" s="68"/>
      <c r="G102" s="68"/>
      <c r="H102" s="24"/>
      <c r="I102" s="68"/>
      <c r="J102" s="68"/>
      <c r="K102" s="68"/>
      <c r="L102" s="68"/>
      <c r="M102" s="68"/>
      <c r="N102" s="68"/>
      <c r="O102" s="52">
        <f>IFERROR(__xludf.DUMMYFUNCTION("""COMPUTED_VALUE"""),0.0)</f>
        <v>0</v>
      </c>
      <c r="P102" s="53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68"/>
      <c r="D103" s="68"/>
      <c r="E103" s="68"/>
      <c r="F103" s="68"/>
      <c r="G103" s="68"/>
      <c r="H103" s="24"/>
      <c r="I103" s="68"/>
      <c r="J103" s="68"/>
      <c r="K103" s="68"/>
      <c r="L103" s="68"/>
      <c r="M103" s="68"/>
      <c r="N103" s="68"/>
      <c r="O103" s="52">
        <f>IFERROR(__xludf.DUMMYFUNCTION("""COMPUTED_VALUE"""),0.0)</f>
        <v>0</v>
      </c>
      <c r="P103" s="53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68"/>
      <c r="D104" s="68"/>
      <c r="E104" s="68"/>
      <c r="F104" s="68"/>
      <c r="G104" s="68"/>
      <c r="H104" s="24"/>
      <c r="I104" s="68"/>
      <c r="J104" s="68"/>
      <c r="K104" s="68"/>
      <c r="L104" s="68"/>
      <c r="M104" s="68"/>
      <c r="N104" s="68"/>
      <c r="O104" s="52">
        <f>IFERROR(__xludf.DUMMYFUNCTION("""COMPUTED_VALUE"""),0.0)</f>
        <v>0</v>
      </c>
      <c r="P104" s="53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46">
        <f>IFERROR(__xludf.DUMMYFUNCTION("""COMPUTED_VALUE"""),0.0)</f>
        <v>0</v>
      </c>
      <c r="D105" s="46">
        <f>IFERROR(__xludf.DUMMYFUNCTION("""COMPUTED_VALUE"""),0.0)</f>
        <v>0</v>
      </c>
      <c r="E105" s="46">
        <f>IFERROR(__xludf.DUMMYFUNCTION("""COMPUTED_VALUE"""),0.0)</f>
        <v>0</v>
      </c>
      <c r="F105" s="46">
        <f>IFERROR(__xludf.DUMMYFUNCTION("""COMPUTED_VALUE"""),0.0)</f>
        <v>0</v>
      </c>
      <c r="G105" s="46">
        <f>IFERROR(__xludf.DUMMYFUNCTION("""COMPUTED_VALUE"""),0.0)</f>
        <v>0</v>
      </c>
      <c r="H105" s="24"/>
      <c r="I105" s="46">
        <f>IFERROR(__xludf.DUMMYFUNCTION("""COMPUTED_VALUE"""),0.0)</f>
        <v>0</v>
      </c>
      <c r="J105" s="46">
        <f>IFERROR(__xludf.DUMMYFUNCTION("""COMPUTED_VALUE"""),0.0)</f>
        <v>0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IFERROR(__xludf.DUMMYFUNCTION("""COMPUTED_VALUE"""),0.0)</f>
        <v>0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68"/>
      <c r="D106" s="68"/>
      <c r="E106" s="68"/>
      <c r="F106" s="68"/>
      <c r="G106" s="68"/>
      <c r="H106" s="24"/>
      <c r="I106" s="68"/>
      <c r="J106" s="68">
        <f>IFERROR(__xludf.DUMMYFUNCTION("""COMPUTED_VALUE"""),0.0)</f>
        <v>0</v>
      </c>
      <c r="K106" s="68"/>
      <c r="L106" s="68"/>
      <c r="M106" s="68"/>
      <c r="N106" s="68"/>
      <c r="O106" s="52">
        <f>IFERROR(__xludf.DUMMYFUNCTION("""COMPUTED_VALUE"""),0.0)</f>
        <v>0</v>
      </c>
      <c r="P106" s="53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68"/>
      <c r="D107" s="68"/>
      <c r="E107" s="68"/>
      <c r="F107" s="68"/>
      <c r="G107" s="68"/>
      <c r="H107" s="24"/>
      <c r="I107" s="68"/>
      <c r="J107" s="68">
        <f>IFERROR(__xludf.DUMMYFUNCTION("""COMPUTED_VALUE"""),0.0)</f>
        <v>0</v>
      </c>
      <c r="K107" s="68"/>
      <c r="L107" s="68"/>
      <c r="M107" s="68"/>
      <c r="N107" s="68"/>
      <c r="O107" s="52">
        <f>IFERROR(__xludf.DUMMYFUNCTION("""COMPUTED_VALUE"""),0.0)</f>
        <v>0</v>
      </c>
      <c r="P107" s="53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IFERROR(__xludf.DUMMYFUNCTION("""COMPUTED_VALUE"""),1.4351724727272727E7)</f>
        <v>14351724.73</v>
      </c>
      <c r="C108" s="44">
        <f>IFERROR(__xludf.DUMMYFUNCTION("""COMPUTED_VALUE"""),4.852639127272727E7)</f>
        <v>48526391.27</v>
      </c>
      <c r="D108" s="44">
        <f>IFERROR(__xludf.DUMMYFUNCTION("""COMPUTED_VALUE"""),3.940748209090909E7)</f>
        <v>39407482.09</v>
      </c>
      <c r="E108" s="44">
        <f>IFERROR(__xludf.DUMMYFUNCTION("""COMPUTED_VALUE"""),3.2608620454545453E7)</f>
        <v>32608620.45</v>
      </c>
      <c r="F108" s="44">
        <f>IFERROR(__xludf.DUMMYFUNCTION("""COMPUTED_VALUE"""),2.179328090909091E7)</f>
        <v>21793280.91</v>
      </c>
      <c r="G108" s="44">
        <f>IFERROR(__xludf.DUMMYFUNCTION("""COMPUTED_VALUE"""),1.5340595727272727E7)</f>
        <v>15340595.73</v>
      </c>
      <c r="H108" s="24"/>
      <c r="I108" s="44">
        <f>IFERROR(__xludf.DUMMYFUNCTION("""COMPUTED_VALUE"""),1.8539995636363637E7)</f>
        <v>18539995.64</v>
      </c>
      <c r="J108" s="44">
        <f>IFERROR(__xludf.DUMMYFUNCTION("""COMPUTED_VALUE"""),1.7222782545454547E7)</f>
        <v>17222782.55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IFERROR(__xludf.DUMMYFUNCTION("""COMPUTED_VALUE"""),2.0779087336363637E8)</f>
        <v>207790873.4</v>
      </c>
      <c r="P108" s="45">
        <f>IFERROR(__xludf.DUMMYFUNCTION("""COMPUTED_VALUE"""),0.4497655426250766)</f>
        <v>0.4497655426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IFERROR(__xludf.DUMMYFUNCTION("""COMPUTED_VALUE"""),5740689.890909091)</f>
        <v>5740689.891</v>
      </c>
      <c r="C109" s="46">
        <f>IFERROR(__xludf.DUMMYFUNCTION("""COMPUTED_VALUE"""),1.941055650909091E7)</f>
        <v>19410556.51</v>
      </c>
      <c r="D109" s="46">
        <f>IFERROR(__xludf.DUMMYFUNCTION("""COMPUTED_VALUE"""),1.5762992836363638E7)</f>
        <v>15762992.84</v>
      </c>
      <c r="E109" s="46">
        <f>IFERROR(__xludf.DUMMYFUNCTION("""COMPUTED_VALUE"""),1.3043448181818182E7)</f>
        <v>13043448.18</v>
      </c>
      <c r="F109" s="46">
        <f>IFERROR(__xludf.DUMMYFUNCTION("""COMPUTED_VALUE"""),8717312.363636365)</f>
        <v>8717312.364</v>
      </c>
      <c r="G109" s="46">
        <f>IFERROR(__xludf.DUMMYFUNCTION("""COMPUTED_VALUE"""),6136238.290909091)</f>
        <v>6136238.291</v>
      </c>
      <c r="H109" s="24"/>
      <c r="I109" s="46">
        <f>IFERROR(__xludf.DUMMYFUNCTION("""COMPUTED_VALUE"""),7415998.254545455)</f>
        <v>7415998.255</v>
      </c>
      <c r="J109" s="46">
        <f>IFERROR(__xludf.DUMMYFUNCTION("""COMPUTED_VALUE"""),6889113.0181818195)</f>
        <v>6889113.018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IFERROR(__xludf.DUMMYFUNCTION("""COMPUTED_VALUE"""),8.311634934545454E7)</f>
        <v>83116349.35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IFERROR(__xludf.DUMMYFUNCTION("""COMPUTED_VALUE"""),8611034.836363636)</f>
        <v>8611034.836</v>
      </c>
      <c r="C110" s="44">
        <f>IFERROR(__xludf.DUMMYFUNCTION("""COMPUTED_VALUE"""),2.911583476363636E7)</f>
        <v>29115834.76</v>
      </c>
      <c r="D110" s="44">
        <f>IFERROR(__xludf.DUMMYFUNCTION("""COMPUTED_VALUE"""),2.3644489254545458E7)</f>
        <v>23644489.25</v>
      </c>
      <c r="E110" s="44">
        <f>IFERROR(__xludf.DUMMYFUNCTION("""COMPUTED_VALUE"""),1.9565172272727273E7)</f>
        <v>19565172.27</v>
      </c>
      <c r="F110" s="44">
        <f>IFERROR(__xludf.DUMMYFUNCTION("""COMPUTED_VALUE"""),1.3075968545454545E7)</f>
        <v>13075968.55</v>
      </c>
      <c r="G110" s="44">
        <f>IFERROR(__xludf.DUMMYFUNCTION("""COMPUTED_VALUE"""),9204357.436363636)</f>
        <v>9204357.436</v>
      </c>
      <c r="H110" s="24"/>
      <c r="I110" s="44">
        <f>IFERROR(__xludf.DUMMYFUNCTION("""COMPUTED_VALUE"""),1.1123997381818183E7)</f>
        <v>11123997.38</v>
      </c>
      <c r="J110" s="44">
        <f>IFERROR(__xludf.DUMMYFUNCTION("""COMPUTED_VALUE"""),1.0333669527272727E7)</f>
        <v>10333669.53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IFERROR(__xludf.DUMMYFUNCTION("""COMPUTED_VALUE"""),1.2467452401818182E8)</f>
        <v>124674524</v>
      </c>
      <c r="P110" s="45">
        <f>IFERROR(__xludf.DUMMYFUNCTION("""COMPUTED_VALUE"""),0.26985932557504594)</f>
        <v>0.2698593256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IFERROR(__xludf.DUMMYFUNCTION("""COMPUTED_VALUE"""),1366830.9264069262)</f>
        <v>1366830.926</v>
      </c>
      <c r="C112" s="44">
        <f>IFERROR(__xludf.DUMMYFUNCTION("""COMPUTED_VALUE"""),4621561.0735930735)</f>
        <v>4621561.074</v>
      </c>
      <c r="D112" s="44">
        <f>IFERROR(__xludf.DUMMYFUNCTION("""COMPUTED_VALUE"""),3753093.532467533)</f>
        <v>3753093.532</v>
      </c>
      <c r="E112" s="44">
        <f>IFERROR(__xludf.DUMMYFUNCTION("""COMPUTED_VALUE"""),3105582.9004329005)</f>
        <v>3105582.9</v>
      </c>
      <c r="F112" s="44">
        <f>IFERROR(__xludf.DUMMYFUNCTION("""COMPUTED_VALUE"""),2075550.562770563)</f>
        <v>2075550.563</v>
      </c>
      <c r="G112" s="44">
        <f>IFERROR(__xludf.DUMMYFUNCTION("""COMPUTED_VALUE"""),1333964.8458498023)</f>
        <v>1333964.846</v>
      </c>
      <c r="H112" s="24"/>
      <c r="I112" s="44">
        <f>IFERROR(__xludf.DUMMYFUNCTION("""COMPUTED_VALUE"""),1612173.533596838)</f>
        <v>1612173.534</v>
      </c>
      <c r="J112" s="44">
        <f>IFERROR(__xludf.DUMMYFUNCTION("""COMPUTED_VALUE"""),1497633.2648221345)</f>
        <v>1497633.265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IFERROR(__xludf.DUMMYFUNCTION("""COMPUTED_VALUE"""),2388400.843260188)</f>
        <v>2388400.843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IFERROR(__xludf.DUMMYFUNCTION("""COMPUTED_VALUE"""),10.5)</f>
        <v>10.5</v>
      </c>
      <c r="C113" s="71">
        <f>IFERROR(__xludf.DUMMYFUNCTION("""COMPUTED_VALUE"""),10.5)</f>
        <v>10.5</v>
      </c>
      <c r="D113" s="71">
        <f>IFERROR(__xludf.DUMMYFUNCTION("""COMPUTED_VALUE"""),10.5)</f>
        <v>10.5</v>
      </c>
      <c r="E113" s="71">
        <f>IFERROR(__xludf.DUMMYFUNCTION("""COMPUTED_VALUE"""),10.5)</f>
        <v>10.5</v>
      </c>
      <c r="F113" s="71">
        <f>IFERROR(__xludf.DUMMYFUNCTION("""COMPUTED_VALUE"""),10.5)</f>
        <v>10.5</v>
      </c>
      <c r="G113" s="71">
        <f>IFERROR(__xludf.DUMMYFUNCTION("""COMPUTED_VALUE"""),11.5)</f>
        <v>11.5</v>
      </c>
      <c r="H113" s="29"/>
      <c r="I113" s="71">
        <f>IFERROR(__xludf.DUMMYFUNCTION("""COMPUTED_VALUE"""),11.5)</f>
        <v>11.5</v>
      </c>
      <c r="J113" s="71">
        <f>IFERROR(__xludf.DUMMYFUNCTION("""COMPUTED_VALUE"""),11.5)</f>
        <v>11.5</v>
      </c>
      <c r="K113" s="71"/>
      <c r="L113" s="71"/>
      <c r="M113" s="71"/>
      <c r="N113" s="71"/>
      <c r="O113" s="50">
        <f>IFERROR(__xludf.DUMMYFUNCTION("""COMPUTED_VALUE"""),87.0)</f>
        <v>87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IFERROR(__xludf.DUMMYFUNCTION("""COMPUTED_VALUE"""),3.0)</f>
        <v>3</v>
      </c>
      <c r="C114" s="71">
        <f>IFERROR(__xludf.DUMMYFUNCTION("""COMPUTED_VALUE"""),3.0)</f>
        <v>3</v>
      </c>
      <c r="D114" s="71">
        <f>IFERROR(__xludf.DUMMYFUNCTION("""COMPUTED_VALUE"""),3.0)</f>
        <v>3</v>
      </c>
      <c r="E114" s="71">
        <f>IFERROR(__xludf.DUMMYFUNCTION("""COMPUTED_VALUE"""),4.0)</f>
        <v>4</v>
      </c>
      <c r="F114" s="71">
        <f>IFERROR(__xludf.DUMMYFUNCTION("""COMPUTED_VALUE"""),4.0)</f>
        <v>4</v>
      </c>
      <c r="G114" s="71">
        <f>IFERROR(__xludf.DUMMYFUNCTION("""COMPUTED_VALUE"""),4.0)</f>
        <v>4</v>
      </c>
      <c r="H114" s="29"/>
      <c r="I114" s="71">
        <f>IFERROR(__xludf.DUMMYFUNCTION("""COMPUTED_VALUE"""),4.0)</f>
        <v>4</v>
      </c>
      <c r="J114" s="71">
        <f>IFERROR(__xludf.DUMMYFUNCTION("""COMPUTED_VALUE"""),4.0)</f>
        <v>4</v>
      </c>
      <c r="K114" s="71"/>
      <c r="L114" s="71"/>
      <c r="M114" s="71"/>
      <c r="N114" s="71"/>
      <c r="O114" s="50">
        <f>IFERROR(__xludf.DUMMYFUNCTION("""COMPUTED_VALUE"""),29.0)</f>
        <v>29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IFERROR(__xludf.DUMMYFUNCTION("""COMPUTED_VALUE"""),6327745.737100736)</f>
        <v>6327745.737</v>
      </c>
      <c r="C116" s="44">
        <f>IFERROR(__xludf.DUMMYFUNCTION("""COMPUTED_VALUE"""),4.084749940869565E7)</f>
        <v>40847499.41</v>
      </c>
      <c r="D116" s="44">
        <f>IFERROR(__xludf.DUMMYFUNCTION("""COMPUTED_VALUE"""),3.345182911304348E7)</f>
        <v>33451829.11</v>
      </c>
      <c r="E116" s="44">
        <f>IFERROR(__xludf.DUMMYFUNCTION("""COMPUTED_VALUE"""),2.6629961246753246E7)</f>
        <v>26629961.25</v>
      </c>
      <c r="F116" s="44">
        <f>IFERROR(__xludf.DUMMYFUNCTION("""COMPUTED_VALUE"""),1.2875909128063243E7)</f>
        <v>12875909.13</v>
      </c>
      <c r="G116" s="44">
        <f>IFERROR(__xludf.DUMMYFUNCTION("""COMPUTED_VALUE"""),8943109.978609625)</f>
        <v>8943109.979</v>
      </c>
      <c r="H116" s="24"/>
      <c r="I116" s="44">
        <f>IFERROR(__xludf.DUMMYFUNCTION("""COMPUTED_VALUE"""),1.1211406084033612E7)</f>
        <v>11211406.08</v>
      </c>
      <c r="J116" s="44">
        <f>IFERROR(__xludf.DUMMYFUNCTION("""COMPUTED_VALUE"""),1.0422352302779866E7)</f>
        <v>10422352.3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IFERROR(__xludf.DUMMYFUNCTION("""COMPUTED_VALUE"""),1.5070981299907947E8)</f>
        <v>150709813</v>
      </c>
      <c r="P116" s="45">
        <f>IFERROR(__xludf.DUMMYFUNCTION("""COMPUTED_VALUE"""),0.32621298387745784)</f>
        <v>0.3262129839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IFERROR(__xludf.DUMMYFUNCTION("""COMPUTED_VALUE"""),6327745.737100736)</f>
        <v>6327745.737</v>
      </c>
      <c r="C117" s="46">
        <f>IFERROR(__xludf.DUMMYFUNCTION("""COMPUTED_VALUE"""),4.084749940869565E7)</f>
        <v>40847499.41</v>
      </c>
      <c r="D117" s="46">
        <f>IFERROR(__xludf.DUMMYFUNCTION("""COMPUTED_VALUE"""),3.345182911304348E7)</f>
        <v>33451829.11</v>
      </c>
      <c r="E117" s="46">
        <f>IFERROR(__xludf.DUMMYFUNCTION("""COMPUTED_VALUE"""),2.6629961246753246E7)</f>
        <v>26629961.25</v>
      </c>
      <c r="F117" s="46">
        <f>IFERROR(__xludf.DUMMYFUNCTION("""COMPUTED_VALUE"""),1.2875909128063243E7)</f>
        <v>12875909.13</v>
      </c>
      <c r="G117" s="46">
        <f>IFERROR(__xludf.DUMMYFUNCTION("""COMPUTED_VALUE"""),8943109.978609625)</f>
        <v>8943109.979</v>
      </c>
      <c r="H117" s="24"/>
      <c r="I117" s="46">
        <f>IFERROR(__xludf.DUMMYFUNCTION("""COMPUTED_VALUE"""),1.1211406084033612E7)</f>
        <v>11211406.08</v>
      </c>
      <c r="J117" s="46">
        <f>IFERROR(__xludf.DUMMYFUNCTION("""COMPUTED_VALUE"""),1.0422352302779866E7)</f>
        <v>10422352.3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IFERROR(__xludf.DUMMYFUNCTION("""COMPUTED_VALUE"""),1.5070981299907947E8)</f>
        <v>150709813</v>
      </c>
      <c r="P117" s="59">
        <f>IFERROR(__xludf.DUMMYFUNCTION("""COMPUTED_VALUE"""),0.32621298387745784)</f>
        <v>0.3262129839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IFERROR(__xludf.DUMMYFUNCTION("""COMPUTED_VALUE"""),13.5)</f>
        <v>13.5</v>
      </c>
      <c r="C118" s="58">
        <f>IFERROR(__xludf.DUMMYFUNCTION("""COMPUTED_VALUE"""),13.5)</f>
        <v>13.5</v>
      </c>
      <c r="D118" s="58">
        <f>IFERROR(__xludf.DUMMYFUNCTION("""COMPUTED_VALUE"""),13.5)</f>
        <v>13.5</v>
      </c>
      <c r="E118" s="58">
        <f>IFERROR(__xludf.DUMMYFUNCTION("""COMPUTED_VALUE"""),14.5)</f>
        <v>14.5</v>
      </c>
      <c r="F118" s="58">
        <f>IFERROR(__xludf.DUMMYFUNCTION("""COMPUTED_VALUE"""),14.5)</f>
        <v>14.5</v>
      </c>
      <c r="G118" s="58">
        <f>IFERROR(__xludf.DUMMYFUNCTION("""COMPUTED_VALUE"""),15.5)</f>
        <v>15.5</v>
      </c>
      <c r="H118" s="29"/>
      <c r="I118" s="58">
        <f>IFERROR(__xludf.DUMMYFUNCTION("""COMPUTED_VALUE"""),15.5)</f>
        <v>15.5</v>
      </c>
      <c r="J118" s="58">
        <f>IFERROR(__xludf.DUMMYFUNCTION("""COMPUTED_VALUE"""),15.5)</f>
        <v>15.5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IFERROR(__xludf.DUMMYFUNCTION("""COMPUTED_VALUE"""),116.0)</f>
        <v>116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IFERROR(__xludf.DUMMYFUNCTION("""COMPUTED_VALUE"""),0.24324324324324326)</f>
        <v>0.2432432432</v>
      </c>
      <c r="C119" s="49">
        <f>IFERROR(__xludf.DUMMYFUNCTION("""COMPUTED_VALUE"""),0.23478260869565218)</f>
        <v>0.2347826087</v>
      </c>
      <c r="D119" s="49">
        <f>IFERROR(__xludf.DUMMYFUNCTION("""COMPUTED_VALUE"""),0.23478260869565218)</f>
        <v>0.2347826087</v>
      </c>
      <c r="E119" s="49">
        <f>IFERROR(__xludf.DUMMYFUNCTION("""COMPUTED_VALUE"""),0.24369747899159663)</f>
        <v>0.243697479</v>
      </c>
      <c r="F119" s="49">
        <f>IFERROR(__xludf.DUMMYFUNCTION("""COMPUTED_VALUE"""),0.25217391304347825)</f>
        <v>0.252173913</v>
      </c>
      <c r="G119" s="49">
        <f>IFERROR(__xludf.DUMMYFUNCTION("""COMPUTED_VALUE"""),0.2605042016806723)</f>
        <v>0.2605042017</v>
      </c>
      <c r="H119" s="24"/>
      <c r="I119" s="49">
        <f>IFERROR(__xludf.DUMMYFUNCTION("""COMPUTED_VALUE"""),0.2605042016806723)</f>
        <v>0.2605042017</v>
      </c>
      <c r="J119" s="49">
        <f>IFERROR(__xludf.DUMMYFUNCTION("""COMPUTED_VALUE"""),0.256198347107438)</f>
        <v>0.2561983471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IFERROR(__xludf.DUMMYFUNCTION("""COMPUTED_VALUE"""),0.24839400428265523)</f>
        <v>0.2483940043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IFERROR(__xludf.DUMMYFUNCTION("""COMPUTED_VALUE"""),8023978.99017199)</f>
        <v>8023978.99</v>
      </c>
      <c r="C120" s="46">
        <f>IFERROR(__xludf.DUMMYFUNCTION("""COMPUTED_VALUE"""),7678891.864031621)</f>
        <v>7678891.864</v>
      </c>
      <c r="D120" s="46">
        <f>IFERROR(__xludf.DUMMYFUNCTION("""COMPUTED_VALUE"""),5955652.977865612)</f>
        <v>5955652.978</v>
      </c>
      <c r="E120" s="46">
        <f>IFERROR(__xludf.DUMMYFUNCTION("""COMPUTED_VALUE"""),5978659.207792208)</f>
        <v>5978659.208</v>
      </c>
      <c r="F120" s="46">
        <f>IFERROR(__xludf.DUMMYFUNCTION("""COMPUTED_VALUE"""),8917371.781027667)</f>
        <v>8917371.781</v>
      </c>
      <c r="G120" s="46">
        <f>IFERROR(__xludf.DUMMYFUNCTION("""COMPUTED_VALUE"""),6397485.748663101)</f>
        <v>6397485.749</v>
      </c>
      <c r="H120" s="46"/>
      <c r="I120" s="46">
        <f>IFERROR(__xludf.DUMMYFUNCTION("""COMPUTED_VALUE"""),7328589.552330024)</f>
        <v>7328589.552</v>
      </c>
      <c r="J120" s="46">
        <f>IFERROR(__xludf.DUMMYFUNCTION("""COMPUTED_VALUE"""),6800430.24267468)</f>
        <v>6800430.243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IFERROR(__xludf.DUMMYFUNCTION("""COMPUTED_VALUE"""),5.70810603645569E7)</f>
        <v>57081060.36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IFERROR(__xludf.DUMMYFUNCTION("""COMPUTED_VALUE"""),3.3267407E7)</f>
        <v>33267407</v>
      </c>
      <c r="C122" s="46">
        <f>IFERROR(__xludf.DUMMYFUNCTION("""COMPUTED_VALUE"""),2.7423421E7)</f>
        <v>27423421</v>
      </c>
      <c r="D122" s="46">
        <f>IFERROR(__xludf.DUMMYFUNCTION("""COMPUTED_VALUE"""),2.17185E7)</f>
        <v>21718500</v>
      </c>
      <c r="E122" s="46">
        <f>IFERROR(__xludf.DUMMYFUNCTION("""COMPUTED_VALUE"""),2.2345166E7)</f>
        <v>22345166</v>
      </c>
      <c r="F122" s="46">
        <f>IFERROR(__xludf.DUMMYFUNCTION("""COMPUTED_VALUE"""),1.7864223E7)</f>
        <v>17864223</v>
      </c>
      <c r="G122" s="46">
        <f>IFERROR(__xludf.DUMMYFUNCTION("""COMPUTED_VALUE"""),1.6555912E7)</f>
        <v>16555912</v>
      </c>
      <c r="H122" s="24"/>
      <c r="I122" s="46">
        <f>IFERROR(__xludf.DUMMYFUNCTION("""COMPUTED_VALUE"""),1.7145355E7)</f>
        <v>17145355</v>
      </c>
      <c r="J122" s="46">
        <f>IFERROR(__xludf.DUMMYFUNCTION("""COMPUTED_VALUE"""),1.2981513E7)</f>
        <v>12981513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74" t="str">
        <f>IFERROR(__xludf.DUMMYFUNCTION("IMPORTRANGE(""https://docs.google.com/spreadsheets/d/1SlHuJEDBJ4Gy3WXeRPN-U9OYonTEM2Yhh4rIuiFr5bQ/edit#gid=256474166"",""放課!A:S"")"),"2022年度")</f>
        <v>2022年度</v>
      </c>
      <c r="B1" s="38">
        <f>IFERROR(__xludf.DUMMYFUNCTION("""COMPUTED_VALUE"""),5.0)</f>
        <v>5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IFERROR(__xludf.DUMMYFUNCTION("""COMPUTED_VALUE"""),"放課後支援")</f>
        <v>放課後支援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IFERROR(__xludf.DUMMYFUNCTION("""COMPUTED_VALUE"""),2.8435147E7)</f>
        <v>28435147</v>
      </c>
      <c r="C3" s="44">
        <f>IFERROR(__xludf.DUMMYFUNCTION("""COMPUTED_VALUE"""),3.6168887E7)</f>
        <v>36168887</v>
      </c>
      <c r="D3" s="44">
        <f>IFERROR(__xludf.DUMMYFUNCTION("""COMPUTED_VALUE"""),1.0859227E8)</f>
        <v>108592270</v>
      </c>
      <c r="E3" s="44">
        <f>IFERROR(__xludf.DUMMYFUNCTION("""COMPUTED_VALUE"""),3.2924512E7)</f>
        <v>32924512</v>
      </c>
      <c r="F3" s="44">
        <f>IFERROR(__xludf.DUMMYFUNCTION("""COMPUTED_VALUE"""),3.3405806E7)</f>
        <v>33405806</v>
      </c>
      <c r="G3" s="44">
        <f>IFERROR(__xludf.DUMMYFUNCTION("""COMPUTED_VALUE"""),3.5878507E7)</f>
        <v>35878507</v>
      </c>
      <c r="H3" s="24"/>
      <c r="I3" s="44">
        <f>IFERROR(__xludf.DUMMYFUNCTION("""COMPUTED_VALUE"""),3.2416858E7)</f>
        <v>32416858</v>
      </c>
      <c r="J3" s="44">
        <f>IFERROR(__xludf.DUMMYFUNCTION("""COMPUTED_VALUE"""),3.4498966E7)</f>
        <v>34498966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IFERROR(__xludf.DUMMYFUNCTION("""COMPUTED_VALUE"""),3.42320953E8)</f>
        <v>342320953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75">
        <f>IFERROR(__xludf.DUMMYFUNCTION("""COMPUTED_VALUE"""),2.8435147E7)</f>
        <v>28435147</v>
      </c>
      <c r="C8" s="62">
        <f>IFERROR(__xludf.DUMMYFUNCTION("""COMPUTED_VALUE"""),3.6168887E7)</f>
        <v>36168887</v>
      </c>
      <c r="D8" s="62">
        <f>IFERROR(__xludf.DUMMYFUNCTION("""COMPUTED_VALUE"""),1.0859227E8)</f>
        <v>108592270</v>
      </c>
      <c r="E8" s="62">
        <f>IFERROR(__xludf.DUMMYFUNCTION("""COMPUTED_VALUE"""),3.2924512E7)</f>
        <v>32924512</v>
      </c>
      <c r="F8" s="62">
        <f>IFERROR(__xludf.DUMMYFUNCTION("""COMPUTED_VALUE"""),3.3405806E7)</f>
        <v>33405806</v>
      </c>
      <c r="G8" s="62">
        <f>IFERROR(__xludf.DUMMYFUNCTION("""COMPUTED_VALUE"""),3.5878507E7)</f>
        <v>35878507</v>
      </c>
      <c r="H8" s="24"/>
      <c r="I8" s="62">
        <f>IFERROR(__xludf.DUMMYFUNCTION("""COMPUTED_VALUE"""),3.2416858E7)</f>
        <v>32416858</v>
      </c>
      <c r="J8" s="62">
        <f>IFERROR(__xludf.DUMMYFUNCTION("""COMPUTED_VALUE"""),3.4498966E7)</f>
        <v>34498966</v>
      </c>
      <c r="K8" s="62"/>
      <c r="L8" s="62"/>
      <c r="M8" s="62"/>
      <c r="N8" s="62"/>
      <c r="O8" s="46">
        <f>IFERROR(__xludf.DUMMYFUNCTION("""COMPUTED_VALUE"""),3.42320953E8)</f>
        <v>342320953</v>
      </c>
      <c r="P8" s="47">
        <f>IFERROR(__xludf.DUMMYFUNCTION("""COMPUTED_VALUE"""),1.0)</f>
        <v>1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IFERROR(__xludf.DUMMYFUNCTION("""COMPUTED_VALUE"""),1.0507721E7)</f>
        <v>10507721</v>
      </c>
      <c r="C16" s="44">
        <f>IFERROR(__xludf.DUMMYFUNCTION("""COMPUTED_VALUE"""),1.5769087E7)</f>
        <v>15769087</v>
      </c>
      <c r="D16" s="44">
        <f>IFERROR(__xludf.DUMMYFUNCTION("""COMPUTED_VALUE"""),1.9570905E7)</f>
        <v>19570905</v>
      </c>
      <c r="E16" s="44">
        <f>IFERROR(__xludf.DUMMYFUNCTION("""COMPUTED_VALUE"""),1.3192411E7)</f>
        <v>13192411</v>
      </c>
      <c r="F16" s="44">
        <f>IFERROR(__xludf.DUMMYFUNCTION("""COMPUTED_VALUE"""),1.0708965E7)</f>
        <v>10708965</v>
      </c>
      <c r="G16" s="44">
        <f>IFERROR(__xludf.DUMMYFUNCTION("""COMPUTED_VALUE"""),1.7170987E7)</f>
        <v>17170987</v>
      </c>
      <c r="H16" s="24"/>
      <c r="I16" s="44">
        <f>IFERROR(__xludf.DUMMYFUNCTION("""COMPUTED_VALUE"""),1.7297693E7)</f>
        <v>17297693</v>
      </c>
      <c r="J16" s="44">
        <f>IFERROR(__xludf.DUMMYFUNCTION("""COMPUTED_VALUE"""),1.8877992E7)</f>
        <v>18877992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IFERROR(__xludf.DUMMYFUNCTION("""COMPUTED_VALUE"""),1.23095761E8)</f>
        <v>123095761</v>
      </c>
      <c r="P16" s="45">
        <f>IFERROR(__xludf.DUMMYFUNCTION("""COMPUTED_VALUE"""),0.359591663674762)</f>
        <v>0.3595916637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>
        <f>IFERROR(__xludf.DUMMYFUNCTION("""COMPUTED_VALUE"""),0.0)</f>
        <v>0</v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>
        <f>IFERROR(__xludf.DUMMYFUNCTION("""COMPUTED_VALUE"""),0.0)</f>
        <v>0</v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62">
        <f>IFERROR(__xludf.DUMMYFUNCTION("""COMPUTED_VALUE"""),1.0507721E7)</f>
        <v>10507721</v>
      </c>
      <c r="C21" s="62">
        <f>IFERROR(__xludf.DUMMYFUNCTION("""COMPUTED_VALUE"""),1.5769087E7)</f>
        <v>15769087</v>
      </c>
      <c r="D21" s="62">
        <f>IFERROR(__xludf.DUMMYFUNCTION("""COMPUTED_VALUE"""),1.9570905E7)</f>
        <v>19570905</v>
      </c>
      <c r="E21" s="62">
        <f>IFERROR(__xludf.DUMMYFUNCTION("""COMPUTED_VALUE"""),1.3192411E7)</f>
        <v>13192411</v>
      </c>
      <c r="F21" s="62">
        <f>IFERROR(__xludf.DUMMYFUNCTION("""COMPUTED_VALUE"""),1.0708965E7)</f>
        <v>10708965</v>
      </c>
      <c r="G21" s="62">
        <f>IFERROR(__xludf.DUMMYFUNCTION("""COMPUTED_VALUE"""),1.7170987E7)</f>
        <v>17170987</v>
      </c>
      <c r="H21" s="24"/>
      <c r="I21" s="62">
        <f>IFERROR(__xludf.DUMMYFUNCTION("""COMPUTED_VALUE"""),1.7297693E7)</f>
        <v>17297693</v>
      </c>
      <c r="J21" s="62">
        <f>IFERROR(__xludf.DUMMYFUNCTION("""COMPUTED_VALUE"""),1.8877992E7)</f>
        <v>18877992</v>
      </c>
      <c r="K21" s="62"/>
      <c r="L21" s="62"/>
      <c r="M21" s="62"/>
      <c r="N21" s="62"/>
      <c r="O21" s="46">
        <f>IFERROR(__xludf.DUMMYFUNCTION("""COMPUTED_VALUE"""),1.23095761E8)</f>
        <v>123095761</v>
      </c>
      <c r="P21" s="47">
        <f>IFERROR(__xludf.DUMMYFUNCTION("""COMPUTED_VALUE"""),1.0)</f>
        <v>1</v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>
        <f>IFERROR(__xludf.DUMMYFUNCTION("""COMPUTED_VALUE"""),0.0)</f>
        <v>0</v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>
        <f>IFERROR(__xludf.DUMMYFUNCTION("""COMPUTED_VALUE"""),0.0)</f>
        <v>0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>
        <f>IFERROR(__xludf.DUMMYFUNCTION("""COMPUTED_VALUE"""),0.0)</f>
        <v>0</v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IFERROR(__xludf.DUMMYFUNCTION("""COMPUTED_VALUE"""),1.7927426E7)</f>
        <v>17927426</v>
      </c>
      <c r="C29" s="44">
        <f>IFERROR(__xludf.DUMMYFUNCTION("""COMPUTED_VALUE"""),2.03998E7)</f>
        <v>20399800</v>
      </c>
      <c r="D29" s="44">
        <f>IFERROR(__xludf.DUMMYFUNCTION("""COMPUTED_VALUE"""),8.9021365E7)</f>
        <v>89021365</v>
      </c>
      <c r="E29" s="44">
        <f>IFERROR(__xludf.DUMMYFUNCTION("""COMPUTED_VALUE"""),1.9732101E7)</f>
        <v>19732101</v>
      </c>
      <c r="F29" s="44">
        <f>IFERROR(__xludf.DUMMYFUNCTION("""COMPUTED_VALUE"""),2.2696841E7)</f>
        <v>22696841</v>
      </c>
      <c r="G29" s="44">
        <f>IFERROR(__xludf.DUMMYFUNCTION("""COMPUTED_VALUE"""),1.870752E7)</f>
        <v>18707520</v>
      </c>
      <c r="H29" s="24"/>
      <c r="I29" s="44">
        <f>IFERROR(__xludf.DUMMYFUNCTION("""COMPUTED_VALUE"""),1.5119165E7)</f>
        <v>15119165</v>
      </c>
      <c r="J29" s="44">
        <f>IFERROR(__xludf.DUMMYFUNCTION("""COMPUTED_VALUE"""),1.5620974E7)</f>
        <v>15620974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IFERROR(__xludf.DUMMYFUNCTION("""COMPUTED_VALUE"""),2.19225192E8)</f>
        <v>219225192</v>
      </c>
      <c r="P29" s="45">
        <f>IFERROR(__xludf.DUMMYFUNCTION("""COMPUTED_VALUE"""),0.6404083363252381)</f>
        <v>0.6404083363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>
        <f>IFERROR(__xludf.DUMMYFUNCTION("""COMPUTED_VALUE"""),1.7927426E7)</f>
        <v>17927426</v>
      </c>
      <c r="C34" s="65">
        <f>IFERROR(__xludf.DUMMYFUNCTION("""COMPUTED_VALUE"""),2.03998E7)</f>
        <v>20399800</v>
      </c>
      <c r="D34" s="65">
        <f>IFERROR(__xludf.DUMMYFUNCTION("""COMPUTED_VALUE"""),8.9021365E7)</f>
        <v>89021365</v>
      </c>
      <c r="E34" s="65">
        <f>IFERROR(__xludf.DUMMYFUNCTION("""COMPUTED_VALUE"""),1.9732101E7)</f>
        <v>19732101</v>
      </c>
      <c r="F34" s="65">
        <f>IFERROR(__xludf.DUMMYFUNCTION("""COMPUTED_VALUE"""),2.2696841E7)</f>
        <v>22696841</v>
      </c>
      <c r="G34" s="65">
        <f>IFERROR(__xludf.DUMMYFUNCTION("""COMPUTED_VALUE"""),1.870752E7)</f>
        <v>18707520</v>
      </c>
      <c r="H34" s="24"/>
      <c r="I34" s="65">
        <f>IFERROR(__xludf.DUMMYFUNCTION("""COMPUTED_VALUE"""),1.5119165E7)</f>
        <v>15119165</v>
      </c>
      <c r="J34" s="65">
        <f>IFERROR(__xludf.DUMMYFUNCTION("""COMPUTED_VALUE"""),1.5620974E7)</f>
        <v>15620974</v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IFERROR(__xludf.DUMMYFUNCTION("""COMPUTED_VALUE"""),2.19225192E8)</f>
        <v>219225192</v>
      </c>
      <c r="P34" s="47">
        <f>IFERROR(__xludf.DUMMYFUNCTION("""COMPUTED_VALUE"""),1.0)</f>
        <v>1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IFERROR(__xludf.DUMMYFUNCTION("""COMPUTED_VALUE"""),0.6304671468728472)</f>
        <v>0.6304671469</v>
      </c>
      <c r="C42" s="49">
        <f>IFERROR(__xludf.DUMMYFUNCTION("""COMPUTED_VALUE"""),0.5640151437338948)</f>
        <v>0.5640151437</v>
      </c>
      <c r="D42" s="49">
        <f>IFERROR(__xludf.DUMMYFUNCTION("""COMPUTED_VALUE"""),0.8197762603176082)</f>
        <v>0.8197762603</v>
      </c>
      <c r="E42" s="49">
        <f>IFERROR(__xludf.DUMMYFUNCTION("""COMPUTED_VALUE"""),0.5993133930124765)</f>
        <v>0.599313393</v>
      </c>
      <c r="F42" s="49">
        <f>IFERROR(__xludf.DUMMYFUNCTION("""COMPUTED_VALUE"""),0.6794280311632056)</f>
        <v>0.6794280312</v>
      </c>
      <c r="G42" s="49">
        <f>IFERROR(__xludf.DUMMYFUNCTION("""COMPUTED_VALUE"""),0.5214130008252573)</f>
        <v>0.5214130008</v>
      </c>
      <c r="H42" s="16"/>
      <c r="I42" s="49">
        <f>IFERROR(__xludf.DUMMYFUNCTION("""COMPUTED_VALUE"""),0.46639822403516096)</f>
        <v>0.466398224</v>
      </c>
      <c r="J42" s="49">
        <f>IFERROR(__xludf.DUMMYFUNCTION("""COMPUTED_VALUE"""),0.452795425810733)</f>
        <v>0.4527954258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IFERROR(__xludf.DUMMYFUNCTION("""COMPUTED_VALUE"""),0.6404083363252381)</f>
        <v>0.6404083363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IFERROR(__xludf.DUMMYFUNCTION("""COMPUTED_VALUE"""),1.2487673272727273E7)</f>
        <v>12487673.27</v>
      </c>
      <c r="C44" s="44">
        <f>IFERROR(__xludf.DUMMYFUNCTION("""COMPUTED_VALUE"""),1.065250290909091E7)</f>
        <v>10652502.91</v>
      </c>
      <c r="D44" s="44">
        <f>IFERROR(__xludf.DUMMYFUNCTION("""COMPUTED_VALUE"""),2.361955281818182E7)</f>
        <v>23619552.82</v>
      </c>
      <c r="E44" s="44">
        <f>IFERROR(__xludf.DUMMYFUNCTION("""COMPUTED_VALUE"""),1.2131890181818182E7)</f>
        <v>12131890.18</v>
      </c>
      <c r="F44" s="44">
        <f>IFERROR(__xludf.DUMMYFUNCTION("""COMPUTED_VALUE"""),1.0790938090909092E7)</f>
        <v>10790938.09</v>
      </c>
      <c r="G44" s="44">
        <f>IFERROR(__xludf.DUMMYFUNCTION("""COMPUTED_VALUE"""),1.0529264818181818E7)</f>
        <v>10529264.82</v>
      </c>
      <c r="H44" s="16"/>
      <c r="I44" s="44">
        <f>IFERROR(__xludf.DUMMYFUNCTION("""COMPUTED_VALUE"""),1.0321229272727273E7)</f>
        <v>10321229.27</v>
      </c>
      <c r="J44" s="44">
        <f>IFERROR(__xludf.DUMMYFUNCTION("""COMPUTED_VALUE"""),1.1046561E7)</f>
        <v>11046561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IFERROR(__xludf.DUMMYFUNCTION("""COMPUTED_VALUE"""),1.0157961236363634E8)</f>
        <v>101579612.4</v>
      </c>
      <c r="P44" s="45">
        <f>IFERROR(__xludf.DUMMYFUNCTION("""COMPUTED_VALUE"""),0.2967379340160821)</f>
        <v>0.296737934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IFERROR(__xludf.DUMMYFUNCTION("""COMPUTED_VALUE"""),1203718.0)</f>
        <v>1203718</v>
      </c>
      <c r="C45" s="46">
        <f>IFERROR(__xludf.DUMMYFUNCTION("""COMPUTED_VALUE"""),452997.0)</f>
        <v>452997</v>
      </c>
      <c r="D45" s="46">
        <f>IFERROR(__xludf.DUMMYFUNCTION("""COMPUTED_VALUE"""),395570.0)</f>
        <v>395570</v>
      </c>
      <c r="E45" s="46">
        <f>IFERROR(__xludf.DUMMYFUNCTION("""COMPUTED_VALUE"""),409168.0)</f>
        <v>409168</v>
      </c>
      <c r="F45" s="46">
        <f>IFERROR(__xludf.DUMMYFUNCTION("""COMPUTED_VALUE"""),411922.0)</f>
        <v>411922</v>
      </c>
      <c r="G45" s="46">
        <f>IFERROR(__xludf.DUMMYFUNCTION("""COMPUTED_VALUE"""),417156.0)</f>
        <v>417156</v>
      </c>
      <c r="H45" s="46"/>
      <c r="I45" s="46">
        <f>IFERROR(__xludf.DUMMYFUNCTION("""COMPUTED_VALUE"""),400394.0)</f>
        <v>400394</v>
      </c>
      <c r="J45" s="46">
        <f>IFERROR(__xludf.DUMMYFUNCTION("""COMPUTED_VALUE"""),410172.0)</f>
        <v>410172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IFERROR(__xludf.DUMMYFUNCTION("""COMPUTED_VALUE"""),4101097.0)</f>
        <v>4101097</v>
      </c>
      <c r="P45" s="47">
        <f>IFERROR(__xludf.DUMMYFUNCTION("""COMPUTED_VALUE"""),0.04037322947560409)</f>
        <v>0.04037322948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IFERROR(__xludf.DUMMYFUNCTION("""COMPUTED_VALUE"""),52857.0)</f>
        <v>52857</v>
      </c>
      <c r="C46" s="68">
        <f>IFERROR(__xludf.DUMMYFUNCTION("""COMPUTED_VALUE"""),88554.0)</f>
        <v>88554</v>
      </c>
      <c r="D46" s="68">
        <f>IFERROR(__xludf.DUMMYFUNCTION("""COMPUTED_VALUE"""),53176.0)</f>
        <v>53176</v>
      </c>
      <c r="E46" s="68">
        <f>IFERROR(__xludf.DUMMYFUNCTION("""COMPUTED_VALUE"""),52270.0)</f>
        <v>52270</v>
      </c>
      <c r="F46" s="68">
        <f>IFERROR(__xludf.DUMMYFUNCTION("""COMPUTED_VALUE"""),53150.0)</f>
        <v>53150</v>
      </c>
      <c r="G46" s="68">
        <f>IFERROR(__xludf.DUMMYFUNCTION("""COMPUTED_VALUE"""),54690.0)</f>
        <v>54690</v>
      </c>
      <c r="H46" s="69"/>
      <c r="I46" s="68">
        <f>IFERROR(__xludf.DUMMYFUNCTION("""COMPUTED_VALUE"""),54686.0)</f>
        <v>54686</v>
      </c>
      <c r="J46" s="68">
        <f>IFERROR(__xludf.DUMMYFUNCTION("""COMPUTED_VALUE"""),54686.0)</f>
        <v>54686</v>
      </c>
      <c r="K46" s="68"/>
      <c r="L46" s="68"/>
      <c r="M46" s="68"/>
      <c r="N46" s="68"/>
      <c r="O46" s="52">
        <f>IFERROR(__xludf.DUMMYFUNCTION("""COMPUTED_VALUE"""),464069.0)</f>
        <v>464069</v>
      </c>
      <c r="P46" s="53">
        <f>IFERROR(__xludf.DUMMYFUNCTION("""COMPUTED_VALUE"""),0.11315728450217101)</f>
        <v>0.1131572845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IFERROR(__xludf.DUMMYFUNCTION("""COMPUTED_VALUE"""),11206.0)</f>
        <v>11206</v>
      </c>
      <c r="C47" s="68">
        <f>IFERROR(__xludf.DUMMYFUNCTION("""COMPUTED_VALUE"""),30728.0)</f>
        <v>30728</v>
      </c>
      <c r="D47" s="68">
        <f>IFERROR(__xludf.DUMMYFUNCTION("""COMPUTED_VALUE"""),9754.0)</f>
        <v>9754</v>
      </c>
      <c r="E47" s="68">
        <f>IFERROR(__xludf.DUMMYFUNCTION("""COMPUTED_VALUE"""),4788.0)</f>
        <v>4788</v>
      </c>
      <c r="F47" s="68">
        <f>IFERROR(__xludf.DUMMYFUNCTION("""COMPUTED_VALUE"""),6442.0)</f>
        <v>6442</v>
      </c>
      <c r="G47" s="68">
        <f>IFERROR(__xludf.DUMMYFUNCTION("""COMPUTED_VALUE"""),18936.0)</f>
        <v>18936</v>
      </c>
      <c r="H47" s="69"/>
      <c r="I47" s="68">
        <f>IFERROR(__xludf.DUMMYFUNCTION("""COMPUTED_VALUE"""),5588.0)</f>
        <v>5588</v>
      </c>
      <c r="J47" s="68">
        <f>IFERROR(__xludf.DUMMYFUNCTION("""COMPUTED_VALUE"""),6110.0)</f>
        <v>6110</v>
      </c>
      <c r="K47" s="68"/>
      <c r="L47" s="68"/>
      <c r="M47" s="68"/>
      <c r="N47" s="68"/>
      <c r="O47" s="52">
        <f>IFERROR(__xludf.DUMMYFUNCTION("""COMPUTED_VALUE"""),93552.0)</f>
        <v>93552</v>
      </c>
      <c r="P47" s="53">
        <f>IFERROR(__xludf.DUMMYFUNCTION("""COMPUTED_VALUE"""),0.022811457519780684)</f>
        <v>0.02281145752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IFERROR(__xludf.DUMMYFUNCTION("""COMPUTED_VALUE"""),1139655.0)</f>
        <v>1139655</v>
      </c>
      <c r="C48" s="68">
        <f>IFERROR(__xludf.DUMMYFUNCTION("""COMPUTED_VALUE"""),333715.0)</f>
        <v>333715</v>
      </c>
      <c r="D48" s="68">
        <f>IFERROR(__xludf.DUMMYFUNCTION("""COMPUTED_VALUE"""),332640.0)</f>
        <v>332640</v>
      </c>
      <c r="E48" s="68">
        <f>IFERROR(__xludf.DUMMYFUNCTION("""COMPUTED_VALUE"""),352110.0)</f>
        <v>352110</v>
      </c>
      <c r="F48" s="68">
        <f>IFERROR(__xludf.DUMMYFUNCTION("""COMPUTED_VALUE"""),352330.0)</f>
        <v>352330</v>
      </c>
      <c r="G48" s="68">
        <f>IFERROR(__xludf.DUMMYFUNCTION("""COMPUTED_VALUE"""),343530.0)</f>
        <v>343530</v>
      </c>
      <c r="H48" s="69"/>
      <c r="I48" s="68">
        <f>IFERROR(__xludf.DUMMYFUNCTION("""COMPUTED_VALUE"""),340120.0)</f>
        <v>340120</v>
      </c>
      <c r="J48" s="68">
        <f>IFERROR(__xludf.DUMMYFUNCTION("""COMPUTED_VALUE"""),349376.0)</f>
        <v>349376</v>
      </c>
      <c r="K48" s="68"/>
      <c r="L48" s="68"/>
      <c r="M48" s="68"/>
      <c r="N48" s="68"/>
      <c r="O48" s="52">
        <f>IFERROR(__xludf.DUMMYFUNCTION("""COMPUTED_VALUE"""),3543476.0)</f>
        <v>3543476</v>
      </c>
      <c r="P48" s="53">
        <f>IFERROR(__xludf.DUMMYFUNCTION("""COMPUTED_VALUE"""),0.8640312579780484)</f>
        <v>0.864031258</v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68"/>
      <c r="D49" s="68"/>
      <c r="E49" s="68">
        <f>IFERROR(__xludf.DUMMYFUNCTION("""COMPUTED_VALUE"""),0.0)</f>
        <v>0</v>
      </c>
      <c r="F49" s="68">
        <f>IFERROR(__xludf.DUMMYFUNCTION("""COMPUTED_VALUE"""),0.0)</f>
        <v>0</v>
      </c>
      <c r="G49" s="68">
        <f>IFERROR(__xludf.DUMMYFUNCTION("""COMPUTED_VALUE"""),0.0)</f>
        <v>0</v>
      </c>
      <c r="H49" s="69"/>
      <c r="I49" s="68">
        <f>IFERROR(__xludf.DUMMYFUNCTION("""COMPUTED_VALUE"""),0.0)</f>
        <v>0</v>
      </c>
      <c r="J49" s="68">
        <f>IFERROR(__xludf.DUMMYFUNCTION("""COMPUTED_VALUE"""),0.0)</f>
        <v>0</v>
      </c>
      <c r="K49" s="68"/>
      <c r="L49" s="68"/>
      <c r="M49" s="68"/>
      <c r="N49" s="68"/>
      <c r="O49" s="52">
        <f>IFERROR(__xludf.DUMMYFUNCTION("""COMPUTED_VALUE"""),0.0)</f>
        <v>0</v>
      </c>
      <c r="P49" s="53">
        <f>IFERROR(__xludf.DUMMYFUNCTION("""COMPUTED_VALUE"""),0.0)</f>
        <v>0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62"/>
      <c r="D50" s="62"/>
      <c r="E50" s="62">
        <f>IFERROR(__xludf.DUMMYFUNCTION("""COMPUTED_VALUE"""),0.0)</f>
        <v>0</v>
      </c>
      <c r="F50" s="62">
        <f>IFERROR(__xludf.DUMMYFUNCTION("""COMPUTED_VALUE"""),0.0)</f>
        <v>0</v>
      </c>
      <c r="G50" s="62">
        <f>IFERROR(__xludf.DUMMYFUNCTION("""COMPUTED_VALUE"""),0.0)</f>
        <v>0</v>
      </c>
      <c r="H50" s="24"/>
      <c r="I50" s="62">
        <f>IFERROR(__xludf.DUMMYFUNCTION("""COMPUTED_VALUE"""),0.0)</f>
        <v>0</v>
      </c>
      <c r="J50" s="62">
        <f>IFERROR(__xludf.DUMMYFUNCTION("""COMPUTED_VALUE"""),0.0)</f>
        <v>0</v>
      </c>
      <c r="K50" s="62"/>
      <c r="L50" s="62"/>
      <c r="M50" s="62"/>
      <c r="N50" s="62"/>
      <c r="O50" s="46">
        <f>IFERROR(__xludf.DUMMYFUNCTION("""COMPUTED_VALUE"""),0.0)</f>
        <v>0</v>
      </c>
      <c r="P50" s="47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IFERROR(__xludf.DUMMYFUNCTION("""COMPUTED_VALUE"""),203505.0)</f>
        <v>203505</v>
      </c>
      <c r="C51" s="62">
        <f>IFERROR(__xludf.DUMMYFUNCTION("""COMPUTED_VALUE"""),201781.0)</f>
        <v>201781</v>
      </c>
      <c r="D51" s="62">
        <f>IFERROR(__xludf.DUMMYFUNCTION("""COMPUTED_VALUE"""),218079.0)</f>
        <v>218079</v>
      </c>
      <c r="E51" s="62">
        <f>IFERROR(__xludf.DUMMYFUNCTION("""COMPUTED_VALUE"""),196941.0)</f>
        <v>196941</v>
      </c>
      <c r="F51" s="62">
        <f>IFERROR(__xludf.DUMMYFUNCTION("""COMPUTED_VALUE"""),121291.0)</f>
        <v>121291</v>
      </c>
      <c r="G51" s="62">
        <f>IFERROR(__xludf.DUMMYFUNCTION("""COMPUTED_VALUE"""),179852.0)</f>
        <v>179852</v>
      </c>
      <c r="H51" s="24"/>
      <c r="I51" s="62">
        <f>IFERROR(__xludf.DUMMYFUNCTION("""COMPUTED_VALUE"""),290141.0)</f>
        <v>290141</v>
      </c>
      <c r="J51" s="62">
        <f>IFERROR(__xludf.DUMMYFUNCTION("""COMPUTED_VALUE"""),280057.0)</f>
        <v>280057</v>
      </c>
      <c r="K51" s="62"/>
      <c r="L51" s="62"/>
      <c r="M51" s="62"/>
      <c r="N51" s="62"/>
      <c r="O51" s="46">
        <f>IFERROR(__xludf.DUMMYFUNCTION("""COMPUTED_VALUE"""),1691647.0)</f>
        <v>1691647</v>
      </c>
      <c r="P51" s="47">
        <f>IFERROR(__xludf.DUMMYFUNCTION("""COMPUTED_VALUE"""),0.016653410666150354)</f>
        <v>0.01665341067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IFERROR(__xludf.DUMMYFUNCTION("""COMPUTED_VALUE"""),685667.0)</f>
        <v>685667</v>
      </c>
      <c r="C52" s="46">
        <f>IFERROR(__xludf.DUMMYFUNCTION("""COMPUTED_VALUE"""),360.0)</f>
        <v>360</v>
      </c>
      <c r="D52" s="46">
        <f>IFERROR(__xludf.DUMMYFUNCTION("""COMPUTED_VALUE"""),8100.0)</f>
        <v>8100</v>
      </c>
      <c r="E52" s="46">
        <f>IFERROR(__xludf.DUMMYFUNCTION("""COMPUTED_VALUE"""),1499300.0)</f>
        <v>1499300</v>
      </c>
      <c r="F52" s="46">
        <f>IFERROR(__xludf.DUMMYFUNCTION("""COMPUTED_VALUE"""),844433.0)</f>
        <v>844433</v>
      </c>
      <c r="G52" s="46">
        <f>IFERROR(__xludf.DUMMYFUNCTION("""COMPUTED_VALUE"""),69300.0)</f>
        <v>69300</v>
      </c>
      <c r="H52" s="46"/>
      <c r="I52" s="46">
        <f>IFERROR(__xludf.DUMMYFUNCTION("""COMPUTED_VALUE"""),75040.0)</f>
        <v>75040</v>
      </c>
      <c r="J52" s="46">
        <f>IFERROR(__xludf.DUMMYFUNCTION("""COMPUTED_VALUE"""),4260.0)</f>
        <v>4260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IFERROR(__xludf.DUMMYFUNCTION("""COMPUTED_VALUE"""),3186460.0)</f>
        <v>3186460</v>
      </c>
      <c r="P52" s="47">
        <f>IFERROR(__xludf.DUMMYFUNCTION("""COMPUTED_VALUE"""),0.031369089976373006)</f>
        <v>0.03136908998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68"/>
      <c r="D53" s="68"/>
      <c r="E53" s="68">
        <f>IFERROR(__xludf.DUMMYFUNCTION("""COMPUTED_VALUE"""),0.0)</f>
        <v>0</v>
      </c>
      <c r="F53" s="68">
        <f>IFERROR(__xludf.DUMMYFUNCTION("""COMPUTED_VALUE"""),0.0)</f>
        <v>0</v>
      </c>
      <c r="G53" s="68">
        <f>IFERROR(__xludf.DUMMYFUNCTION("""COMPUTED_VALUE"""),0.0)</f>
        <v>0</v>
      </c>
      <c r="H53" s="69"/>
      <c r="I53" s="68">
        <f>IFERROR(__xludf.DUMMYFUNCTION("""COMPUTED_VALUE"""),0.0)</f>
        <v>0</v>
      </c>
      <c r="J53" s="68">
        <f>IFERROR(__xludf.DUMMYFUNCTION("""COMPUTED_VALUE"""),0.0)</f>
        <v>0</v>
      </c>
      <c r="K53" s="68"/>
      <c r="L53" s="68"/>
      <c r="M53" s="68"/>
      <c r="N53" s="68"/>
      <c r="O53" s="52">
        <f>IFERROR(__xludf.DUMMYFUNCTION("""COMPUTED_VALUE"""),0.0)</f>
        <v>0</v>
      </c>
      <c r="P53" s="53">
        <f>IFERROR(__xludf.DUMMYFUNCTION("""COMPUTED_VALUE"""),0.0)</f>
        <v>0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68"/>
      <c r="D54" s="68"/>
      <c r="E54" s="68">
        <f>IFERROR(__xludf.DUMMYFUNCTION("""COMPUTED_VALUE"""),0.0)</f>
        <v>0</v>
      </c>
      <c r="F54" s="68">
        <f>IFERROR(__xludf.DUMMYFUNCTION("""COMPUTED_VALUE"""),0.0)</f>
        <v>0</v>
      </c>
      <c r="G54" s="68">
        <f>IFERROR(__xludf.DUMMYFUNCTION("""COMPUTED_VALUE"""),0.0)</f>
        <v>0</v>
      </c>
      <c r="H54" s="69"/>
      <c r="I54" s="68">
        <f>IFERROR(__xludf.DUMMYFUNCTION("""COMPUTED_VALUE"""),0.0)</f>
        <v>0</v>
      </c>
      <c r="J54" s="68">
        <f>IFERROR(__xludf.DUMMYFUNCTION("""COMPUTED_VALUE"""),0.0)</f>
        <v>0</v>
      </c>
      <c r="K54" s="68"/>
      <c r="L54" s="68"/>
      <c r="M54" s="68"/>
      <c r="N54" s="68"/>
      <c r="O54" s="52">
        <f>IFERROR(__xludf.DUMMYFUNCTION("""COMPUTED_VALUE"""),0.0)</f>
        <v>0</v>
      </c>
      <c r="P54" s="53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68"/>
      <c r="D55" s="68"/>
      <c r="E55" s="68">
        <f>IFERROR(__xludf.DUMMYFUNCTION("""COMPUTED_VALUE"""),0.0)</f>
        <v>0</v>
      </c>
      <c r="F55" s="68">
        <f>IFERROR(__xludf.DUMMYFUNCTION("""COMPUTED_VALUE"""),0.0)</f>
        <v>0</v>
      </c>
      <c r="G55" s="68">
        <f>IFERROR(__xludf.DUMMYFUNCTION("""COMPUTED_VALUE"""),0.0)</f>
        <v>0</v>
      </c>
      <c r="H55" s="69"/>
      <c r="I55" s="68">
        <f>IFERROR(__xludf.DUMMYFUNCTION("""COMPUTED_VALUE"""),0.0)</f>
        <v>0</v>
      </c>
      <c r="J55" s="68">
        <f>IFERROR(__xludf.DUMMYFUNCTION("""COMPUTED_VALUE"""),0.0)</f>
        <v>0</v>
      </c>
      <c r="K55" s="68"/>
      <c r="L55" s="68"/>
      <c r="M55" s="68"/>
      <c r="N55" s="68"/>
      <c r="O55" s="52">
        <f>IFERROR(__xludf.DUMMYFUNCTION("""COMPUTED_VALUE"""),0.0)</f>
        <v>0</v>
      </c>
      <c r="P55" s="53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68"/>
      <c r="D56" s="68"/>
      <c r="E56" s="68">
        <f>IFERROR(__xludf.DUMMYFUNCTION("""COMPUTED_VALUE"""),0.0)</f>
        <v>0</v>
      </c>
      <c r="F56" s="68">
        <f>IFERROR(__xludf.DUMMYFUNCTION("""COMPUTED_VALUE"""),0.0)</f>
        <v>0</v>
      </c>
      <c r="G56" s="68">
        <f>IFERROR(__xludf.DUMMYFUNCTION("""COMPUTED_VALUE"""),0.0)</f>
        <v>0</v>
      </c>
      <c r="H56" s="69"/>
      <c r="I56" s="68">
        <f>IFERROR(__xludf.DUMMYFUNCTION("""COMPUTED_VALUE"""),0.0)</f>
        <v>0</v>
      </c>
      <c r="J56" s="68">
        <f>IFERROR(__xludf.DUMMYFUNCTION("""COMPUTED_VALUE"""),0.0)</f>
        <v>0</v>
      </c>
      <c r="K56" s="68"/>
      <c r="L56" s="68"/>
      <c r="M56" s="68"/>
      <c r="N56" s="68"/>
      <c r="O56" s="52">
        <f>IFERROR(__xludf.DUMMYFUNCTION("""COMPUTED_VALUE"""),0.0)</f>
        <v>0</v>
      </c>
      <c r="P56" s="53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68">
        <f>IFERROR(__xludf.DUMMYFUNCTION("""COMPUTED_VALUE"""),360.0)</f>
        <v>360</v>
      </c>
      <c r="D57" s="68">
        <f>IFERROR(__xludf.DUMMYFUNCTION("""COMPUTED_VALUE"""),4800.0)</f>
        <v>4800</v>
      </c>
      <c r="E57" s="68">
        <f>IFERROR(__xludf.DUMMYFUNCTION("""COMPUTED_VALUE"""),0.0)</f>
        <v>0</v>
      </c>
      <c r="F57" s="68">
        <f>IFERROR(__xludf.DUMMYFUNCTION("""COMPUTED_VALUE"""),0.0)</f>
        <v>0</v>
      </c>
      <c r="G57" s="68">
        <f>IFERROR(__xludf.DUMMYFUNCTION("""COMPUTED_VALUE"""),0.0)</f>
        <v>0</v>
      </c>
      <c r="H57" s="69"/>
      <c r="I57" s="68">
        <f>IFERROR(__xludf.DUMMYFUNCTION("""COMPUTED_VALUE"""),5740.0)</f>
        <v>5740</v>
      </c>
      <c r="J57" s="68">
        <f>IFERROR(__xludf.DUMMYFUNCTION("""COMPUTED_VALUE"""),4260.0)</f>
        <v>4260</v>
      </c>
      <c r="K57" s="68"/>
      <c r="L57" s="68"/>
      <c r="M57" s="68"/>
      <c r="N57" s="68"/>
      <c r="O57" s="52">
        <f>IFERROR(__xludf.DUMMYFUNCTION("""COMPUTED_VALUE"""),15160.0)</f>
        <v>15160</v>
      </c>
      <c r="P57" s="53">
        <f>IFERROR(__xludf.DUMMYFUNCTION("""COMPUTED_VALUE"""),0.004757630725005178)</f>
        <v>0.004757630725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68"/>
      <c r="D58" s="68"/>
      <c r="E58" s="68">
        <f>IFERROR(__xludf.DUMMYFUNCTION("""COMPUTED_VALUE"""),0.0)</f>
        <v>0</v>
      </c>
      <c r="F58" s="68">
        <f>IFERROR(__xludf.DUMMYFUNCTION("""COMPUTED_VALUE"""),0.0)</f>
        <v>0</v>
      </c>
      <c r="G58" s="68">
        <f>IFERROR(__xludf.DUMMYFUNCTION("""COMPUTED_VALUE"""),0.0)</f>
        <v>0</v>
      </c>
      <c r="H58" s="69"/>
      <c r="I58" s="68">
        <f>IFERROR(__xludf.DUMMYFUNCTION("""COMPUTED_VALUE"""),0.0)</f>
        <v>0</v>
      </c>
      <c r="J58" s="68">
        <f>IFERROR(__xludf.DUMMYFUNCTION("""COMPUTED_VALUE"""),0.0)</f>
        <v>0</v>
      </c>
      <c r="K58" s="68"/>
      <c r="L58" s="68"/>
      <c r="M58" s="68"/>
      <c r="N58" s="68"/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67">
        <f>IFERROR(__xludf.DUMMYFUNCTION("""COMPUTED_VALUE"""),652667.0)</f>
        <v>652667</v>
      </c>
      <c r="C59" s="68"/>
      <c r="D59" s="68">
        <f>IFERROR(__xludf.DUMMYFUNCTION("""COMPUTED_VALUE"""),3300.0)</f>
        <v>3300</v>
      </c>
      <c r="E59" s="68">
        <f>IFERROR(__xludf.DUMMYFUNCTION("""COMPUTED_VALUE"""),1499300.0)</f>
        <v>1499300</v>
      </c>
      <c r="F59" s="68">
        <f>IFERROR(__xludf.DUMMYFUNCTION("""COMPUTED_VALUE"""),844433.0)</f>
        <v>844433</v>
      </c>
      <c r="G59" s="68">
        <f>IFERROR(__xludf.DUMMYFUNCTION("""COMPUTED_VALUE"""),69300.0)</f>
        <v>69300</v>
      </c>
      <c r="H59" s="69"/>
      <c r="I59" s="68">
        <f>IFERROR(__xludf.DUMMYFUNCTION("""COMPUTED_VALUE"""),69300.0)</f>
        <v>69300</v>
      </c>
      <c r="J59" s="68">
        <f>IFERROR(__xludf.DUMMYFUNCTION("""COMPUTED_VALUE"""),0.0)</f>
        <v>0</v>
      </c>
      <c r="K59" s="68"/>
      <c r="L59" s="68"/>
      <c r="M59" s="68"/>
      <c r="N59" s="68"/>
      <c r="O59" s="52">
        <f>IFERROR(__xludf.DUMMYFUNCTION("""COMPUTED_VALUE"""),3138300.0)</f>
        <v>3138300</v>
      </c>
      <c r="P59" s="53">
        <f>IFERROR(__xludf.DUMMYFUNCTION("""COMPUTED_VALUE"""),0.9848860490952343)</f>
        <v>0.9848860491</v>
      </c>
      <c r="Q59" s="16"/>
    </row>
    <row r="60" ht="15.75" customHeight="1">
      <c r="A60" s="51" t="str">
        <f>IFERROR(__xludf.DUMMYFUNCTION("""COMPUTED_VALUE"""),"その他")</f>
        <v>その他</v>
      </c>
      <c r="B60" s="67">
        <f>IFERROR(__xludf.DUMMYFUNCTION("""COMPUTED_VALUE"""),33000.0)</f>
        <v>33000</v>
      </c>
      <c r="C60" s="68"/>
      <c r="D60" s="68"/>
      <c r="E60" s="68">
        <f>IFERROR(__xludf.DUMMYFUNCTION("""COMPUTED_VALUE"""),0.0)</f>
        <v>0</v>
      </c>
      <c r="F60" s="68">
        <f>IFERROR(__xludf.DUMMYFUNCTION("""COMPUTED_VALUE"""),0.0)</f>
        <v>0</v>
      </c>
      <c r="G60" s="68">
        <f>IFERROR(__xludf.DUMMYFUNCTION("""COMPUTED_VALUE"""),0.0)</f>
        <v>0</v>
      </c>
      <c r="H60" s="69"/>
      <c r="I60" s="68">
        <f>IFERROR(__xludf.DUMMYFUNCTION("""COMPUTED_VALUE"""),0.0)</f>
        <v>0</v>
      </c>
      <c r="J60" s="68">
        <f>IFERROR(__xludf.DUMMYFUNCTION("""COMPUTED_VALUE"""),0.0)</f>
        <v>0</v>
      </c>
      <c r="K60" s="68"/>
      <c r="L60" s="68"/>
      <c r="M60" s="68"/>
      <c r="N60" s="68"/>
      <c r="O60" s="52">
        <f>IFERROR(__xludf.DUMMYFUNCTION("""COMPUTED_VALUE"""),33000.0)</f>
        <v>33000</v>
      </c>
      <c r="P60" s="53">
        <f>IFERROR(__xludf.DUMMYFUNCTION("""COMPUTED_VALUE"""),0.010356320179760611)</f>
        <v>0.01035632018</v>
      </c>
      <c r="Q60" s="16"/>
    </row>
    <row r="61" ht="15.75" customHeight="1">
      <c r="A61" s="48" t="str">
        <f>IFERROR(__xludf.DUMMYFUNCTION("""COMPUTED_VALUE"""),"研修費")</f>
        <v>研修費</v>
      </c>
      <c r="B61" s="67">
        <f>IFERROR(__xludf.DUMMYFUNCTION("""COMPUTED_VALUE"""),1539347.0)</f>
        <v>1539347</v>
      </c>
      <c r="C61" s="62">
        <f>IFERROR(__xludf.DUMMYFUNCTION("""COMPUTED_VALUE"""),687609.0)</f>
        <v>687609</v>
      </c>
      <c r="D61" s="62">
        <f>IFERROR(__xludf.DUMMYFUNCTION("""COMPUTED_VALUE"""),542241.0)</f>
        <v>542241</v>
      </c>
      <c r="E61" s="62">
        <f>IFERROR(__xludf.DUMMYFUNCTION("""COMPUTED_VALUE"""),705251.0)</f>
        <v>705251</v>
      </c>
      <c r="F61" s="62">
        <f>IFERROR(__xludf.DUMMYFUNCTION("""COMPUTED_VALUE"""),358117.0)</f>
        <v>358117</v>
      </c>
      <c r="G61" s="62">
        <f>IFERROR(__xludf.DUMMYFUNCTION("""COMPUTED_VALUE"""),620954.0)</f>
        <v>620954</v>
      </c>
      <c r="H61" s="24"/>
      <c r="I61" s="62">
        <f>IFERROR(__xludf.DUMMYFUNCTION("""COMPUTED_VALUE"""),766098.0)</f>
        <v>766098</v>
      </c>
      <c r="J61" s="62">
        <f>IFERROR(__xludf.DUMMYFUNCTION("""COMPUTED_VALUE"""),692121.0)</f>
        <v>692121</v>
      </c>
      <c r="K61" s="62"/>
      <c r="L61" s="62"/>
      <c r="M61" s="62"/>
      <c r="N61" s="62"/>
      <c r="O61" s="46">
        <f>IFERROR(__xludf.DUMMYFUNCTION("""COMPUTED_VALUE"""),5911738.0)</f>
        <v>5911738</v>
      </c>
      <c r="P61" s="47">
        <f>IFERROR(__xludf.DUMMYFUNCTION("""COMPUTED_VALUE"""),0.05819807599616608)</f>
        <v>0.058198076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62"/>
      <c r="D62" s="62">
        <f>IFERROR(__xludf.DUMMYFUNCTION("""COMPUTED_VALUE"""),3240.0)</f>
        <v>3240</v>
      </c>
      <c r="E62" s="62">
        <f>IFERROR(__xludf.DUMMYFUNCTION("""COMPUTED_VALUE"""),0.0)</f>
        <v>0</v>
      </c>
      <c r="F62" s="62">
        <f>IFERROR(__xludf.DUMMYFUNCTION("""COMPUTED_VALUE"""),0.0)</f>
        <v>0</v>
      </c>
      <c r="G62" s="62">
        <f>IFERROR(__xludf.DUMMYFUNCTION("""COMPUTED_VALUE"""),0.0)</f>
        <v>0</v>
      </c>
      <c r="H62" s="24"/>
      <c r="I62" s="62">
        <f>IFERROR(__xludf.DUMMYFUNCTION("""COMPUTED_VALUE"""),3240.0)</f>
        <v>3240</v>
      </c>
      <c r="J62" s="62">
        <f>IFERROR(__xludf.DUMMYFUNCTION("""COMPUTED_VALUE"""),0.0)</f>
        <v>0</v>
      </c>
      <c r="K62" s="62"/>
      <c r="L62" s="62"/>
      <c r="M62" s="62"/>
      <c r="N62" s="62"/>
      <c r="O62" s="46">
        <f>IFERROR(__xludf.DUMMYFUNCTION("""COMPUTED_VALUE"""),6480.0)</f>
        <v>6480</v>
      </c>
      <c r="P62" s="47">
        <f>IFERROR(__xludf.DUMMYFUNCTION("""COMPUTED_VALUE"""),6.379232849208747E-5)</f>
        <v>0.00006379232849</v>
      </c>
      <c r="Q62" s="16"/>
    </row>
    <row r="63" ht="15.75" customHeight="1">
      <c r="A63" s="48" t="str">
        <f>IFERROR(__xludf.DUMMYFUNCTION("""COMPUTED_VALUE"""),"会議費")</f>
        <v>会議費</v>
      </c>
      <c r="B63" s="67">
        <f>IFERROR(__xludf.DUMMYFUNCTION("""COMPUTED_VALUE"""),9941.0)</f>
        <v>9941</v>
      </c>
      <c r="C63" s="62">
        <f>IFERROR(__xludf.DUMMYFUNCTION("""COMPUTED_VALUE"""),32489.0)</f>
        <v>32489</v>
      </c>
      <c r="D63" s="62">
        <f>IFERROR(__xludf.DUMMYFUNCTION("""COMPUTED_VALUE"""),64500.0)</f>
        <v>64500</v>
      </c>
      <c r="E63" s="62">
        <f>IFERROR(__xludf.DUMMYFUNCTION("""COMPUTED_VALUE"""),78530.0)</f>
        <v>78530</v>
      </c>
      <c r="F63" s="62">
        <f>IFERROR(__xludf.DUMMYFUNCTION("""COMPUTED_VALUE"""),35768.0)</f>
        <v>35768</v>
      </c>
      <c r="G63" s="62">
        <f>IFERROR(__xludf.DUMMYFUNCTION("""COMPUTED_VALUE"""),115882.0)</f>
        <v>115882</v>
      </c>
      <c r="H63" s="24"/>
      <c r="I63" s="62">
        <f>IFERROR(__xludf.DUMMYFUNCTION("""COMPUTED_VALUE"""),100145.0)</f>
        <v>100145</v>
      </c>
      <c r="J63" s="62">
        <f>IFERROR(__xludf.DUMMYFUNCTION("""COMPUTED_VALUE"""),72406.0)</f>
        <v>72406</v>
      </c>
      <c r="K63" s="62"/>
      <c r="L63" s="62"/>
      <c r="M63" s="62"/>
      <c r="N63" s="62"/>
      <c r="O63" s="46">
        <f>IFERROR(__xludf.DUMMYFUNCTION("""COMPUTED_VALUE"""),509661.0)</f>
        <v>509661</v>
      </c>
      <c r="P63" s="47">
        <f>IFERROR(__xludf.DUMMYFUNCTION("""COMPUTED_VALUE"""),0.005017355236358919)</f>
        <v>0.005017355236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62"/>
      <c r="D64" s="62"/>
      <c r="E64" s="62">
        <f>IFERROR(__xludf.DUMMYFUNCTION("""COMPUTED_VALUE"""),0.0)</f>
        <v>0</v>
      </c>
      <c r="F64" s="62">
        <f>IFERROR(__xludf.DUMMYFUNCTION("""COMPUTED_VALUE"""),0.0)</f>
        <v>0</v>
      </c>
      <c r="G64" s="62">
        <f>IFERROR(__xludf.DUMMYFUNCTION("""COMPUTED_VALUE"""),0.0)</f>
        <v>0</v>
      </c>
      <c r="H64" s="24"/>
      <c r="I64" s="62">
        <f>IFERROR(__xludf.DUMMYFUNCTION("""COMPUTED_VALUE"""),0.0)</f>
        <v>0</v>
      </c>
      <c r="J64" s="62">
        <f>IFERROR(__xludf.DUMMYFUNCTION("""COMPUTED_VALUE"""),0.0)</f>
        <v>0</v>
      </c>
      <c r="K64" s="62"/>
      <c r="L64" s="62"/>
      <c r="M64" s="62"/>
      <c r="N64" s="62"/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IFERROR(__xludf.DUMMYFUNCTION("""COMPUTED_VALUE"""),159701.0)</f>
        <v>159701</v>
      </c>
      <c r="C65" s="62">
        <f>IFERROR(__xludf.DUMMYFUNCTION("""COMPUTED_VALUE"""),81562.0)</f>
        <v>81562</v>
      </c>
      <c r="D65" s="62">
        <f>IFERROR(__xludf.DUMMYFUNCTION("""COMPUTED_VALUE"""),330.0)</f>
        <v>330</v>
      </c>
      <c r="E65" s="62">
        <f>IFERROR(__xludf.DUMMYFUNCTION("""COMPUTED_VALUE"""),81296.0)</f>
        <v>81296</v>
      </c>
      <c r="F65" s="62">
        <f>IFERROR(__xludf.DUMMYFUNCTION("""COMPUTED_VALUE"""),2524.0)</f>
        <v>2524</v>
      </c>
      <c r="G65" s="62">
        <f>IFERROR(__xludf.DUMMYFUNCTION("""COMPUTED_VALUE"""),6124.0)</f>
        <v>6124</v>
      </c>
      <c r="H65" s="24"/>
      <c r="I65" s="62">
        <f>IFERROR(__xludf.DUMMYFUNCTION("""COMPUTED_VALUE"""),99853.0)</f>
        <v>99853</v>
      </c>
      <c r="J65" s="62">
        <f>IFERROR(__xludf.DUMMYFUNCTION("""COMPUTED_VALUE"""),6993.0)</f>
        <v>6993</v>
      </c>
      <c r="K65" s="62"/>
      <c r="L65" s="62"/>
      <c r="M65" s="62"/>
      <c r="N65" s="62"/>
      <c r="O65" s="46">
        <f>IFERROR(__xludf.DUMMYFUNCTION("""COMPUTED_VALUE"""),438383.0)</f>
        <v>438383</v>
      </c>
      <c r="P65" s="47">
        <f>IFERROR(__xludf.DUMMYFUNCTION("""COMPUTED_VALUE"""),0.004315659311936232)</f>
        <v>0.004315659312</v>
      </c>
      <c r="Q65" s="16"/>
    </row>
    <row r="66" ht="15.75" customHeight="1">
      <c r="A66" s="48" t="str">
        <f>IFERROR(__xludf.DUMMYFUNCTION("""COMPUTED_VALUE"""),"新聞図書費")</f>
        <v>新聞図書費</v>
      </c>
      <c r="B66" s="67">
        <f>IFERROR(__xludf.DUMMYFUNCTION("""COMPUTED_VALUE"""),17123.0)</f>
        <v>17123</v>
      </c>
      <c r="C66" s="62">
        <f>IFERROR(__xludf.DUMMYFUNCTION("""COMPUTED_VALUE"""),21285.0)</f>
        <v>21285</v>
      </c>
      <c r="D66" s="62"/>
      <c r="E66" s="62">
        <f>IFERROR(__xludf.DUMMYFUNCTION("""COMPUTED_VALUE"""),0.0)</f>
        <v>0</v>
      </c>
      <c r="F66" s="62">
        <f>IFERROR(__xludf.DUMMYFUNCTION("""COMPUTED_VALUE"""),5922.0)</f>
        <v>5922</v>
      </c>
      <c r="G66" s="62">
        <f>IFERROR(__xludf.DUMMYFUNCTION("""COMPUTED_VALUE"""),21777.0)</f>
        <v>21777</v>
      </c>
      <c r="H66" s="24"/>
      <c r="I66" s="62">
        <f>IFERROR(__xludf.DUMMYFUNCTION("""COMPUTED_VALUE"""),26071.0)</f>
        <v>26071</v>
      </c>
      <c r="J66" s="62">
        <f>IFERROR(__xludf.DUMMYFUNCTION("""COMPUTED_VALUE"""),26675.0)</f>
        <v>26675</v>
      </c>
      <c r="K66" s="62"/>
      <c r="L66" s="62"/>
      <c r="M66" s="62"/>
      <c r="N66" s="62"/>
      <c r="O66" s="46">
        <f>IFERROR(__xludf.DUMMYFUNCTION("""COMPUTED_VALUE"""),118853.0)</f>
        <v>118853</v>
      </c>
      <c r="P66" s="47">
        <f>IFERROR(__xludf.DUMMYFUNCTION("""COMPUTED_VALUE"""),0.0011700477805972334)</f>
        <v>0.001170047781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62"/>
      <c r="D67" s="62"/>
      <c r="E67" s="62">
        <f>IFERROR(__xludf.DUMMYFUNCTION("""COMPUTED_VALUE"""),0.0)</f>
        <v>0</v>
      </c>
      <c r="F67" s="62">
        <f>IFERROR(__xludf.DUMMYFUNCTION("""COMPUTED_VALUE"""),0.0)</f>
        <v>0</v>
      </c>
      <c r="G67" s="62">
        <f>IFERROR(__xludf.DUMMYFUNCTION("""COMPUTED_VALUE"""),0.0)</f>
        <v>0</v>
      </c>
      <c r="H67" s="24"/>
      <c r="I67" s="62">
        <f>IFERROR(__xludf.DUMMYFUNCTION("""COMPUTED_VALUE"""),0.0)</f>
        <v>0</v>
      </c>
      <c r="J67" s="62">
        <f>IFERROR(__xludf.DUMMYFUNCTION("""COMPUTED_VALUE"""),0.0)</f>
        <v>0</v>
      </c>
      <c r="K67" s="62"/>
      <c r="L67" s="62"/>
      <c r="M67" s="62"/>
      <c r="N67" s="62"/>
      <c r="O67" s="46">
        <f>IFERROR(__xludf.DUMMYFUNCTION("""COMPUTED_VALUE"""),0.0)</f>
        <v>0</v>
      </c>
      <c r="P67" s="47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62"/>
      <c r="D68" s="62"/>
      <c r="E68" s="62">
        <f>IFERROR(__xludf.DUMMYFUNCTION("""COMPUTED_VALUE"""),0.0)</f>
        <v>0</v>
      </c>
      <c r="F68" s="62">
        <f>IFERROR(__xludf.DUMMYFUNCTION("""COMPUTED_VALUE"""),0.0)</f>
        <v>0</v>
      </c>
      <c r="G68" s="62">
        <f>IFERROR(__xludf.DUMMYFUNCTION("""COMPUTED_VALUE"""),0.0)</f>
        <v>0</v>
      </c>
      <c r="H68" s="24"/>
      <c r="I68" s="62">
        <f>IFERROR(__xludf.DUMMYFUNCTION("""COMPUTED_VALUE"""),0.0)</f>
        <v>0</v>
      </c>
      <c r="J68" s="62">
        <f>IFERROR(__xludf.DUMMYFUNCTION("""COMPUTED_VALUE"""),0.0)</f>
        <v>0</v>
      </c>
      <c r="K68" s="62"/>
      <c r="L68" s="62"/>
      <c r="M68" s="62"/>
      <c r="N68" s="62"/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62"/>
      <c r="D69" s="62"/>
      <c r="E69" s="62">
        <f>IFERROR(__xludf.DUMMYFUNCTION("""COMPUTED_VALUE"""),0.0)</f>
        <v>0</v>
      </c>
      <c r="F69" s="62">
        <f>IFERROR(__xludf.DUMMYFUNCTION("""COMPUTED_VALUE"""),0.0)</f>
        <v>0</v>
      </c>
      <c r="G69" s="62">
        <f>IFERROR(__xludf.DUMMYFUNCTION("""COMPUTED_VALUE"""),0.0)</f>
        <v>0</v>
      </c>
      <c r="H69" s="24"/>
      <c r="I69" s="62">
        <f>IFERROR(__xludf.DUMMYFUNCTION("""COMPUTED_VALUE"""),0.0)</f>
        <v>0</v>
      </c>
      <c r="J69" s="62">
        <f>IFERROR(__xludf.DUMMYFUNCTION("""COMPUTED_VALUE"""),0.0)</f>
        <v>0</v>
      </c>
      <c r="K69" s="62"/>
      <c r="L69" s="62"/>
      <c r="M69" s="62"/>
      <c r="N69" s="62"/>
      <c r="O69" s="46">
        <f>IFERROR(__xludf.DUMMYFUNCTION("""COMPUTED_VALUE"""),0.0)</f>
        <v>0</v>
      </c>
      <c r="P69" s="47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62"/>
      <c r="D70" s="62"/>
      <c r="E70" s="62">
        <f>IFERROR(__xludf.DUMMYFUNCTION("""COMPUTED_VALUE"""),0.0)</f>
        <v>0</v>
      </c>
      <c r="F70" s="62">
        <f>IFERROR(__xludf.DUMMYFUNCTION("""COMPUTED_VALUE"""),0.0)</f>
        <v>0</v>
      </c>
      <c r="G70" s="62">
        <f>IFERROR(__xludf.DUMMYFUNCTION("""COMPUTED_VALUE"""),0.0)</f>
        <v>0</v>
      </c>
      <c r="H70" s="24"/>
      <c r="I70" s="62">
        <f>IFERROR(__xludf.DUMMYFUNCTION("""COMPUTED_VALUE"""),0.0)</f>
        <v>0</v>
      </c>
      <c r="J70" s="62">
        <f>IFERROR(__xludf.DUMMYFUNCTION("""COMPUTED_VALUE"""),0.0)</f>
        <v>0</v>
      </c>
      <c r="K70" s="62"/>
      <c r="L70" s="62"/>
      <c r="M70" s="62"/>
      <c r="N70" s="62"/>
      <c r="O70" s="46">
        <f>IFERROR(__xludf.DUMMYFUNCTION("""COMPUTED_VALUE"""),0.0)</f>
        <v>0</v>
      </c>
      <c r="P70" s="47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62"/>
      <c r="D71" s="62"/>
      <c r="E71" s="62">
        <f>IFERROR(__xludf.DUMMYFUNCTION("""COMPUTED_VALUE"""),0.0)</f>
        <v>0</v>
      </c>
      <c r="F71" s="62">
        <f>IFERROR(__xludf.DUMMYFUNCTION("""COMPUTED_VALUE"""),0.0)</f>
        <v>0</v>
      </c>
      <c r="G71" s="62">
        <f>IFERROR(__xludf.DUMMYFUNCTION("""COMPUTED_VALUE"""),0.0)</f>
        <v>0</v>
      </c>
      <c r="H71" s="24"/>
      <c r="I71" s="62">
        <f>IFERROR(__xludf.DUMMYFUNCTION("""COMPUTED_VALUE"""),0.0)</f>
        <v>0</v>
      </c>
      <c r="J71" s="62">
        <f>IFERROR(__xludf.DUMMYFUNCTION("""COMPUTED_VALUE"""),0.0)</f>
        <v>0</v>
      </c>
      <c r="K71" s="62"/>
      <c r="L71" s="62"/>
      <c r="M71" s="62"/>
      <c r="N71" s="62"/>
      <c r="O71" s="46">
        <f>IFERROR(__xludf.DUMMYFUNCTION("""COMPUTED_VALUE"""),0.0)</f>
        <v>0</v>
      </c>
      <c r="P71" s="47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62"/>
      <c r="D72" s="62"/>
      <c r="E72" s="62">
        <f>IFERROR(__xludf.DUMMYFUNCTION("""COMPUTED_VALUE"""),0.0)</f>
        <v>0</v>
      </c>
      <c r="F72" s="62">
        <f>IFERROR(__xludf.DUMMYFUNCTION("""COMPUTED_VALUE"""),0.0)</f>
        <v>0</v>
      </c>
      <c r="G72" s="62">
        <f>IFERROR(__xludf.DUMMYFUNCTION("""COMPUTED_VALUE"""),0.0)</f>
        <v>0</v>
      </c>
      <c r="H72" s="24"/>
      <c r="I72" s="62">
        <f>IFERROR(__xludf.DUMMYFUNCTION("""COMPUTED_VALUE"""),0.0)</f>
        <v>0</v>
      </c>
      <c r="J72" s="62">
        <f>IFERROR(__xludf.DUMMYFUNCTION("""COMPUTED_VALUE"""),0.0)</f>
        <v>0</v>
      </c>
      <c r="K72" s="62"/>
      <c r="L72" s="62"/>
      <c r="M72" s="62"/>
      <c r="N72" s="62"/>
      <c r="O72" s="46">
        <f>IFERROR(__xludf.DUMMYFUNCTION("""COMPUTED_VALUE"""),0.0)</f>
        <v>0</v>
      </c>
      <c r="P72" s="47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62"/>
      <c r="D73" s="62"/>
      <c r="E73" s="62">
        <f>IFERROR(__xludf.DUMMYFUNCTION("""COMPUTED_VALUE"""),0.0)</f>
        <v>0</v>
      </c>
      <c r="F73" s="62">
        <f>IFERROR(__xludf.DUMMYFUNCTION("""COMPUTED_VALUE"""),0.0)</f>
        <v>0</v>
      </c>
      <c r="G73" s="62">
        <f>IFERROR(__xludf.DUMMYFUNCTION("""COMPUTED_VALUE"""),0.0)</f>
        <v>0</v>
      </c>
      <c r="H73" s="24"/>
      <c r="I73" s="62">
        <f>IFERROR(__xludf.DUMMYFUNCTION("""COMPUTED_VALUE"""),0.0)</f>
        <v>0</v>
      </c>
      <c r="J73" s="62">
        <f>IFERROR(__xludf.DUMMYFUNCTION("""COMPUTED_VALUE"""),0.0)</f>
        <v>0</v>
      </c>
      <c r="K73" s="62"/>
      <c r="L73" s="62"/>
      <c r="M73" s="62"/>
      <c r="N73" s="62"/>
      <c r="O73" s="46">
        <f>IFERROR(__xludf.DUMMYFUNCTION("""COMPUTED_VALUE"""),0.0)</f>
        <v>0</v>
      </c>
      <c r="P73" s="47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62"/>
      <c r="D74" s="62"/>
      <c r="E74" s="62">
        <f>IFERROR(__xludf.DUMMYFUNCTION("""COMPUTED_VALUE"""),0.0)</f>
        <v>0</v>
      </c>
      <c r="F74" s="62">
        <f>IFERROR(__xludf.DUMMYFUNCTION("""COMPUTED_VALUE"""),0.0)</f>
        <v>0</v>
      </c>
      <c r="G74" s="62">
        <f>IFERROR(__xludf.DUMMYFUNCTION("""COMPUTED_VALUE"""),330.0)</f>
        <v>330</v>
      </c>
      <c r="H74" s="24"/>
      <c r="I74" s="62">
        <f>IFERROR(__xludf.DUMMYFUNCTION("""COMPUTED_VALUE"""),0.0)</f>
        <v>0</v>
      </c>
      <c r="J74" s="62">
        <f>IFERROR(__xludf.DUMMYFUNCTION("""COMPUTED_VALUE"""),0.0)</f>
        <v>0</v>
      </c>
      <c r="K74" s="62"/>
      <c r="L74" s="62"/>
      <c r="M74" s="62"/>
      <c r="N74" s="62"/>
      <c r="O74" s="46">
        <f>IFERROR(__xludf.DUMMYFUNCTION("""COMPUTED_VALUE"""),330.0)</f>
        <v>330</v>
      </c>
      <c r="P74" s="47">
        <f>IFERROR(__xludf.DUMMYFUNCTION("""COMPUTED_VALUE"""),3.2486833954303808E-6)</f>
        <v>0.000003248683395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62"/>
      <c r="D75" s="62"/>
      <c r="E75" s="62">
        <f>IFERROR(__xludf.DUMMYFUNCTION("""COMPUTED_VALUE"""),0.0)</f>
        <v>0</v>
      </c>
      <c r="F75" s="62">
        <f>IFERROR(__xludf.DUMMYFUNCTION("""COMPUTED_VALUE"""),0.0)</f>
        <v>0</v>
      </c>
      <c r="G75" s="62">
        <f>IFERROR(__xludf.DUMMYFUNCTION("""COMPUTED_VALUE"""),0.0)</f>
        <v>0</v>
      </c>
      <c r="H75" s="24"/>
      <c r="I75" s="62">
        <f>IFERROR(__xludf.DUMMYFUNCTION("""COMPUTED_VALUE"""),0.0)</f>
        <v>0</v>
      </c>
      <c r="J75" s="62">
        <f>IFERROR(__xludf.DUMMYFUNCTION("""COMPUTED_VALUE"""),0.0)</f>
        <v>0</v>
      </c>
      <c r="K75" s="62"/>
      <c r="L75" s="62"/>
      <c r="M75" s="62"/>
      <c r="N75" s="62"/>
      <c r="O75" s="46">
        <f>IFERROR(__xludf.DUMMYFUNCTION("""COMPUTED_VALUE"""),0.0)</f>
        <v>0</v>
      </c>
      <c r="P75" s="47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67">
        <f>IFERROR(__xludf.DUMMYFUNCTION("""COMPUTED_VALUE"""),22915.0)</f>
        <v>22915</v>
      </c>
      <c r="C76" s="62"/>
      <c r="D76" s="62">
        <f>IFERROR(__xludf.DUMMYFUNCTION("""COMPUTED_VALUE"""),120000.0)</f>
        <v>120000</v>
      </c>
      <c r="E76" s="62">
        <f>IFERROR(__xludf.DUMMYFUNCTION("""COMPUTED_VALUE"""),0.0)</f>
        <v>0</v>
      </c>
      <c r="F76" s="62">
        <f>IFERROR(__xludf.DUMMYFUNCTION("""COMPUTED_VALUE"""),0.0)</f>
        <v>0</v>
      </c>
      <c r="G76" s="62">
        <f>IFERROR(__xludf.DUMMYFUNCTION("""COMPUTED_VALUE"""),32085.0)</f>
        <v>32085</v>
      </c>
      <c r="H76" s="24"/>
      <c r="I76" s="62">
        <f>IFERROR(__xludf.DUMMYFUNCTION("""COMPUTED_VALUE"""),0.0)</f>
        <v>0</v>
      </c>
      <c r="J76" s="62">
        <f>IFERROR(__xludf.DUMMYFUNCTION("""COMPUTED_VALUE"""),0.0)</f>
        <v>0</v>
      </c>
      <c r="K76" s="62"/>
      <c r="L76" s="62"/>
      <c r="M76" s="62"/>
      <c r="N76" s="62"/>
      <c r="O76" s="46">
        <f>IFERROR(__xludf.DUMMYFUNCTION("""COMPUTED_VALUE"""),175000.0)</f>
        <v>175000</v>
      </c>
      <c r="P76" s="47">
        <f>IFERROR(__xludf.DUMMYFUNCTION("""COMPUTED_VALUE"""),0.0017227866490918686)</f>
        <v>0.001722786649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IFERROR(__xludf.DUMMYFUNCTION("""COMPUTED_VALUE"""),7090770.0)</f>
        <v>7090770</v>
      </c>
      <c r="C77" s="46">
        <f>IFERROR(__xludf.DUMMYFUNCTION("""COMPUTED_VALUE"""),7094382.0)</f>
        <v>7094382</v>
      </c>
      <c r="D77" s="46">
        <f>IFERROR(__xludf.DUMMYFUNCTION("""COMPUTED_VALUE"""),1.4077156E7)</f>
        <v>14077156</v>
      </c>
      <c r="E77" s="46">
        <f>IFERROR(__xludf.DUMMYFUNCTION("""COMPUTED_VALUE"""),7637221.0)</f>
        <v>7637221</v>
      </c>
      <c r="F77" s="46">
        <f>IFERROR(__xludf.DUMMYFUNCTION("""COMPUTED_VALUE"""),7109428.0)</f>
        <v>7109428</v>
      </c>
      <c r="G77" s="46">
        <f>IFERROR(__xludf.DUMMYFUNCTION("""COMPUTED_VALUE"""),7228963.0)</f>
        <v>7228963</v>
      </c>
      <c r="H77" s="46"/>
      <c r="I77" s="46">
        <f>IFERROR(__xludf.DUMMYFUNCTION("""COMPUTED_VALUE"""),7345467.0)</f>
        <v>7345467</v>
      </c>
      <c r="J77" s="46">
        <f>IFERROR(__xludf.DUMMYFUNCTION("""COMPUTED_VALUE"""),7201307.0)</f>
        <v>7201307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IFERROR(__xludf.DUMMYFUNCTION("""COMPUTED_VALUE"""),6.4784694E7)</f>
        <v>64784694</v>
      </c>
      <c r="P77" s="47">
        <f>IFERROR(__xludf.DUMMYFUNCTION("""COMPUTED_VALUE"""),0.6377726050782976)</f>
        <v>0.6377726051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IFERROR(__xludf.DUMMYFUNCTION("""COMPUTED_VALUE"""),6429660.0)</f>
        <v>6429660</v>
      </c>
      <c r="C78" s="68">
        <f>IFERROR(__xludf.DUMMYFUNCTION("""COMPUTED_VALUE"""),6363562.0)</f>
        <v>6363562</v>
      </c>
      <c r="D78" s="68">
        <f>IFERROR(__xludf.DUMMYFUNCTION("""COMPUTED_VALUE"""),1.3337962E7)</f>
        <v>13337962</v>
      </c>
      <c r="E78" s="68">
        <f>IFERROR(__xludf.DUMMYFUNCTION("""COMPUTED_VALUE"""),7017273.0)</f>
        <v>7017273</v>
      </c>
      <c r="F78" s="68">
        <f>IFERROR(__xludf.DUMMYFUNCTION("""COMPUTED_VALUE"""),6552138.0)</f>
        <v>6552138</v>
      </c>
      <c r="G78" s="68">
        <f>IFERROR(__xludf.DUMMYFUNCTION("""COMPUTED_VALUE"""),6581653.0)</f>
        <v>6581653</v>
      </c>
      <c r="H78" s="69"/>
      <c r="I78" s="68">
        <f>IFERROR(__xludf.DUMMYFUNCTION("""COMPUTED_VALUE"""),6727927.0)</f>
        <v>6727927</v>
      </c>
      <c r="J78" s="68">
        <f>IFERROR(__xludf.DUMMYFUNCTION("""COMPUTED_VALUE"""),6558499.0)</f>
        <v>6558499</v>
      </c>
      <c r="K78" s="68"/>
      <c r="L78" s="68"/>
      <c r="M78" s="68"/>
      <c r="N78" s="68"/>
      <c r="O78" s="52">
        <f>IFERROR(__xludf.DUMMYFUNCTION("""COMPUTED_VALUE"""),5.9568674E7)</f>
        <v>59568674</v>
      </c>
      <c r="P78" s="53">
        <f>IFERROR(__xludf.DUMMYFUNCTION("""COMPUTED_VALUE"""),0.9194868466925228)</f>
        <v>0.9194868467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/>
      <c r="C79" s="68">
        <f>IFERROR(__xludf.DUMMYFUNCTION("""COMPUTED_VALUE"""),0.0)</f>
        <v>0</v>
      </c>
      <c r="D79" s="68">
        <f>IFERROR(__xludf.DUMMYFUNCTION("""COMPUTED_VALUE"""),0.0)</f>
        <v>0</v>
      </c>
      <c r="E79" s="68"/>
      <c r="F79" s="68"/>
      <c r="G79" s="68"/>
      <c r="H79" s="24"/>
      <c r="I79" s="68"/>
      <c r="J79" s="68"/>
      <c r="K79" s="68"/>
      <c r="L79" s="68"/>
      <c r="M79" s="68"/>
      <c r="N79" s="68"/>
      <c r="O79" s="52">
        <f>IFERROR(__xludf.DUMMYFUNCTION("""COMPUTED_VALUE"""),0.0)</f>
        <v>0</v>
      </c>
      <c r="P79" s="53">
        <f>IFERROR(__xludf.DUMMYFUNCTION("""COMPUTED_VALUE"""),0.0)</f>
        <v>0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IFERROR(__xludf.DUMMYFUNCTION("""COMPUTED_VALUE"""),598382.0)</f>
        <v>598382</v>
      </c>
      <c r="C80" s="68">
        <f>IFERROR(__xludf.DUMMYFUNCTION("""COMPUTED_VALUE"""),574532.0)</f>
        <v>574532</v>
      </c>
      <c r="D80" s="68">
        <f>IFERROR(__xludf.DUMMYFUNCTION("""COMPUTED_VALUE"""),632519.0)</f>
        <v>632519</v>
      </c>
      <c r="E80" s="68">
        <f>IFERROR(__xludf.DUMMYFUNCTION("""COMPUTED_VALUE"""),523609.0)</f>
        <v>523609</v>
      </c>
      <c r="F80" s="68">
        <f>IFERROR(__xludf.DUMMYFUNCTION("""COMPUTED_VALUE"""),494441.0)</f>
        <v>494441</v>
      </c>
      <c r="G80" s="68">
        <f>IFERROR(__xludf.DUMMYFUNCTION("""COMPUTED_VALUE"""),547290.0)</f>
        <v>547290</v>
      </c>
      <c r="H80" s="24"/>
      <c r="I80" s="68">
        <f>IFERROR(__xludf.DUMMYFUNCTION("""COMPUTED_VALUE"""),564967.0)</f>
        <v>564967</v>
      </c>
      <c r="J80" s="68">
        <f>IFERROR(__xludf.DUMMYFUNCTION("""COMPUTED_VALUE"""),612258.0)</f>
        <v>612258</v>
      </c>
      <c r="K80" s="68"/>
      <c r="L80" s="68"/>
      <c r="M80" s="68"/>
      <c r="N80" s="68"/>
      <c r="O80" s="52">
        <f>IFERROR(__xludf.DUMMYFUNCTION("""COMPUTED_VALUE"""),4547998.0)</f>
        <v>4547998</v>
      </c>
      <c r="P80" s="53">
        <f>IFERROR(__xludf.DUMMYFUNCTION("""COMPUTED_VALUE"""),0.07020173623109187)</f>
        <v>0.07020173623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IFERROR(__xludf.DUMMYFUNCTION("""COMPUTED_VALUE"""),62728.0)</f>
        <v>62728</v>
      </c>
      <c r="C81" s="68">
        <f>IFERROR(__xludf.DUMMYFUNCTION("""COMPUTED_VALUE"""),156288.0)</f>
        <v>156288</v>
      </c>
      <c r="D81" s="68">
        <f>IFERROR(__xludf.DUMMYFUNCTION("""COMPUTED_VALUE"""),106675.0)</f>
        <v>106675</v>
      </c>
      <c r="E81" s="68">
        <f>IFERROR(__xludf.DUMMYFUNCTION("""COMPUTED_VALUE"""),96339.0)</f>
        <v>96339</v>
      </c>
      <c r="F81" s="68">
        <f>IFERROR(__xludf.DUMMYFUNCTION("""COMPUTED_VALUE"""),62849.0)</f>
        <v>62849</v>
      </c>
      <c r="G81" s="68">
        <f>IFERROR(__xludf.DUMMYFUNCTION("""COMPUTED_VALUE"""),100020.0)</f>
        <v>100020</v>
      </c>
      <c r="H81" s="24"/>
      <c r="I81" s="68">
        <f>IFERROR(__xludf.DUMMYFUNCTION("""COMPUTED_VALUE"""),52573.0)</f>
        <v>52573</v>
      </c>
      <c r="J81" s="68">
        <f>IFERROR(__xludf.DUMMYFUNCTION("""COMPUTED_VALUE"""),30550.0)</f>
        <v>30550</v>
      </c>
      <c r="K81" s="68"/>
      <c r="L81" s="68"/>
      <c r="M81" s="68"/>
      <c r="N81" s="68"/>
      <c r="O81" s="52">
        <f>IFERROR(__xludf.DUMMYFUNCTION("""COMPUTED_VALUE"""),668022.0)</f>
        <v>668022</v>
      </c>
      <c r="P81" s="53">
        <f>IFERROR(__xludf.DUMMYFUNCTION("""COMPUTED_VALUE"""),0.010311417076385358)</f>
        <v>0.01031141708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62"/>
      <c r="D82" s="62"/>
      <c r="E82" s="62"/>
      <c r="F82" s="62"/>
      <c r="G82" s="62"/>
      <c r="H82" s="24"/>
      <c r="I82" s="62"/>
      <c r="J82" s="62"/>
      <c r="K82" s="62"/>
      <c r="L82" s="62"/>
      <c r="M82" s="62"/>
      <c r="N82" s="62"/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62"/>
      <c r="D83" s="62"/>
      <c r="E83" s="62">
        <f>IFERROR(__xludf.DUMMYFUNCTION("""COMPUTED_VALUE"""),0.0)</f>
        <v>0</v>
      </c>
      <c r="F83" s="62">
        <f>IFERROR(__xludf.DUMMYFUNCTION("""COMPUTED_VALUE"""),0.0)</f>
        <v>0</v>
      </c>
      <c r="G83" s="62">
        <f>IFERROR(__xludf.DUMMYFUNCTION("""COMPUTED_VALUE"""),0.0)</f>
        <v>0</v>
      </c>
      <c r="H83" s="24"/>
      <c r="I83" s="62"/>
      <c r="J83" s="62">
        <f>IFERROR(__xludf.DUMMYFUNCTION("""COMPUTED_VALUE"""),0.0)</f>
        <v>0</v>
      </c>
      <c r="K83" s="62"/>
      <c r="L83" s="62"/>
      <c r="M83" s="62"/>
      <c r="N83" s="62"/>
      <c r="O83" s="46">
        <f>IFERROR(__xludf.DUMMYFUNCTION("""COMPUTED_VALUE"""),0.0)</f>
        <v>0</v>
      </c>
      <c r="P83" s="47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IFERROR(__xludf.DUMMYFUNCTION("""COMPUTED_VALUE"""),440.0)</f>
        <v>440</v>
      </c>
      <c r="C84" s="46">
        <f>IFERROR(__xludf.DUMMYFUNCTION("""COMPUTED_VALUE"""),440.0)</f>
        <v>440</v>
      </c>
      <c r="D84" s="46">
        <f>IFERROR(__xludf.DUMMYFUNCTION("""COMPUTED_VALUE"""),440.0)</f>
        <v>440</v>
      </c>
      <c r="E84" s="46">
        <f>IFERROR(__xludf.DUMMYFUNCTION("""COMPUTED_VALUE"""),440.0)</f>
        <v>440</v>
      </c>
      <c r="F84" s="46">
        <f>IFERROR(__xludf.DUMMYFUNCTION("""COMPUTED_VALUE"""),0.0)</f>
        <v>0</v>
      </c>
      <c r="G84" s="46">
        <f>IFERROR(__xludf.DUMMYFUNCTION("""COMPUTED_VALUE"""),1320.0)</f>
        <v>1320</v>
      </c>
      <c r="H84" s="24"/>
      <c r="I84" s="46">
        <f>IFERROR(__xludf.DUMMYFUNCTION("""COMPUTED_VALUE"""),440.0)</f>
        <v>440</v>
      </c>
      <c r="J84" s="46">
        <f>IFERROR(__xludf.DUMMYFUNCTION("""COMPUTED_VALUE"""),440.0)</f>
        <v>440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IFERROR(__xludf.DUMMYFUNCTION("""COMPUTED_VALUE"""),3960.0)</f>
        <v>3960</v>
      </c>
      <c r="P84" s="47">
        <f>IFERROR(__xludf.DUMMYFUNCTION("""COMPUTED_VALUE"""),3.898420074516457E-5)</f>
        <v>0.00003898420075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>
        <f>IFERROR(__xludf.DUMMYFUNCTION("""COMPUTED_VALUE"""),440.0)</f>
        <v>440</v>
      </c>
      <c r="C85" s="68">
        <f>IFERROR(__xludf.DUMMYFUNCTION("""COMPUTED_VALUE"""),440.0)</f>
        <v>440</v>
      </c>
      <c r="D85" s="68">
        <f>IFERROR(__xludf.DUMMYFUNCTION("""COMPUTED_VALUE"""),440.0)</f>
        <v>440</v>
      </c>
      <c r="E85" s="68">
        <f>IFERROR(__xludf.DUMMYFUNCTION("""COMPUTED_VALUE"""),440.0)</f>
        <v>440</v>
      </c>
      <c r="F85" s="68">
        <f>IFERROR(__xludf.DUMMYFUNCTION("""COMPUTED_VALUE"""),0.0)</f>
        <v>0</v>
      </c>
      <c r="G85" s="68">
        <f>IFERROR(__xludf.DUMMYFUNCTION("""COMPUTED_VALUE"""),1320.0)</f>
        <v>1320</v>
      </c>
      <c r="H85" s="24"/>
      <c r="I85" s="68">
        <f>IFERROR(__xludf.DUMMYFUNCTION("""COMPUTED_VALUE"""),440.0)</f>
        <v>440</v>
      </c>
      <c r="J85" s="68">
        <f>IFERROR(__xludf.DUMMYFUNCTION("""COMPUTED_VALUE"""),440.0)</f>
        <v>440</v>
      </c>
      <c r="K85" s="68"/>
      <c r="L85" s="68"/>
      <c r="M85" s="68"/>
      <c r="N85" s="68"/>
      <c r="O85" s="52">
        <f>IFERROR(__xludf.DUMMYFUNCTION("""COMPUTED_VALUE"""),3960.0)</f>
        <v>3960</v>
      </c>
      <c r="P85" s="53">
        <f>IFERROR(__xludf.DUMMYFUNCTION("""COMPUTED_VALUE"""),1.0)</f>
        <v>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68"/>
      <c r="D86" s="68"/>
      <c r="E86" s="68">
        <f>IFERROR(__xludf.DUMMYFUNCTION("""COMPUTED_VALUE"""),0.0)</f>
        <v>0</v>
      </c>
      <c r="F86" s="68">
        <f>IFERROR(__xludf.DUMMYFUNCTION("""COMPUTED_VALUE"""),0.0)</f>
        <v>0</v>
      </c>
      <c r="G86" s="68">
        <f>IFERROR(__xludf.DUMMYFUNCTION("""COMPUTED_VALUE"""),0.0)</f>
        <v>0</v>
      </c>
      <c r="H86" s="24"/>
      <c r="I86" s="68">
        <f>IFERROR(__xludf.DUMMYFUNCTION("""COMPUTED_VALUE"""),0.0)</f>
        <v>0</v>
      </c>
      <c r="J86" s="68">
        <f>IFERROR(__xludf.DUMMYFUNCTION("""COMPUTED_VALUE"""),0.0)</f>
        <v>0</v>
      </c>
      <c r="K86" s="68">
        <f>IFERROR(__xludf.DUMMYFUNCTION("""COMPUTED_VALUE"""),0.0)</f>
        <v>0</v>
      </c>
      <c r="L86" s="68">
        <f>IFERROR(__xludf.DUMMYFUNCTION("""COMPUTED_VALUE"""),0.0)</f>
        <v>0</v>
      </c>
      <c r="M86" s="68">
        <f>IFERROR(__xludf.DUMMYFUNCTION("""COMPUTED_VALUE"""),0.0)</f>
        <v>0</v>
      </c>
      <c r="N86" s="68">
        <f>IFERROR(__xludf.DUMMYFUNCTION("""COMPUTED_VALUE"""),0.0)</f>
        <v>0</v>
      </c>
      <c r="O86" s="52">
        <f>IFERROR(__xludf.DUMMYFUNCTION("""COMPUTED_VALUE"""),0.0)</f>
        <v>0</v>
      </c>
      <c r="P86" s="53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68"/>
      <c r="D87" s="68"/>
      <c r="E87" s="68">
        <f>IFERROR(__xludf.DUMMYFUNCTION("""COMPUTED_VALUE"""),0.0)</f>
        <v>0</v>
      </c>
      <c r="F87" s="68">
        <f>IFERROR(__xludf.DUMMYFUNCTION("""COMPUTED_VALUE"""),0.0)</f>
        <v>0</v>
      </c>
      <c r="G87" s="68">
        <f>IFERROR(__xludf.DUMMYFUNCTION("""COMPUTED_VALUE"""),0.0)</f>
        <v>0</v>
      </c>
      <c r="H87" s="24"/>
      <c r="I87" s="68">
        <f>IFERROR(__xludf.DUMMYFUNCTION("""COMPUTED_VALUE"""),0.0)</f>
        <v>0</v>
      </c>
      <c r="J87" s="68">
        <f>IFERROR(__xludf.DUMMYFUNCTION("""COMPUTED_VALUE"""),0.0)</f>
        <v>0</v>
      </c>
      <c r="K87" s="68">
        <f>IFERROR(__xludf.DUMMYFUNCTION("""COMPUTED_VALUE"""),0.0)</f>
        <v>0</v>
      </c>
      <c r="L87" s="68">
        <f>IFERROR(__xludf.DUMMYFUNCTION("""COMPUTED_VALUE"""),0.0)</f>
        <v>0</v>
      </c>
      <c r="M87" s="68">
        <f>IFERROR(__xludf.DUMMYFUNCTION("""COMPUTED_VALUE"""),0.0)</f>
        <v>0</v>
      </c>
      <c r="N87" s="68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68"/>
      <c r="D88" s="68"/>
      <c r="E88" s="68">
        <f>IFERROR(__xludf.DUMMYFUNCTION("""COMPUTED_VALUE"""),0.0)</f>
        <v>0</v>
      </c>
      <c r="F88" s="68">
        <f>IFERROR(__xludf.DUMMYFUNCTION("""COMPUTED_VALUE"""),0.0)</f>
        <v>0</v>
      </c>
      <c r="G88" s="68">
        <f>IFERROR(__xludf.DUMMYFUNCTION("""COMPUTED_VALUE"""),0.0)</f>
        <v>0</v>
      </c>
      <c r="H88" s="24"/>
      <c r="I88" s="68">
        <f>IFERROR(__xludf.DUMMYFUNCTION("""COMPUTED_VALUE"""),0.0)</f>
        <v>0</v>
      </c>
      <c r="J88" s="68">
        <f>IFERROR(__xludf.DUMMYFUNCTION("""COMPUTED_VALUE"""),0.0)</f>
        <v>0</v>
      </c>
      <c r="K88" s="68">
        <f>IFERROR(__xludf.DUMMYFUNCTION("""COMPUTED_VALUE"""),0.0)</f>
        <v>0</v>
      </c>
      <c r="L88" s="68">
        <f>IFERROR(__xludf.DUMMYFUNCTION("""COMPUTED_VALUE"""),0.0)</f>
        <v>0</v>
      </c>
      <c r="M88" s="68">
        <f>IFERROR(__xludf.DUMMYFUNCTION("""COMPUTED_VALUE"""),0.0)</f>
        <v>0</v>
      </c>
      <c r="N88" s="68">
        <f>IFERROR(__xludf.DUMMYFUNCTION("""COMPUTED_VALUE"""),0.0)</f>
        <v>0</v>
      </c>
      <c r="O88" s="52">
        <f>IFERROR(__xludf.DUMMYFUNCTION("""COMPUTED_VALUE"""),0.0)</f>
        <v>0</v>
      </c>
      <c r="P88" s="53">
        <f>IFERROR(__xludf.DUMMYFUNCTION("""COMPUTED_VALUE"""),0.0)</f>
        <v>0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IFERROR(__xludf.DUMMYFUNCTION("""COMPUTED_VALUE"""),0.0)</f>
        <v>0</v>
      </c>
      <c r="C89" s="46">
        <f>IFERROR(__xludf.DUMMYFUNCTION("""COMPUTED_VALUE"""),0.0)</f>
        <v>0</v>
      </c>
      <c r="D89" s="46">
        <f>IFERROR(__xludf.DUMMYFUNCTION("""COMPUTED_VALUE"""),0.0)</f>
        <v>0</v>
      </c>
      <c r="E89" s="46">
        <f>IFERROR(__xludf.DUMMYFUNCTION("""COMPUTED_VALUE"""),0.0)</f>
        <v>0</v>
      </c>
      <c r="F89" s="46">
        <f>IFERROR(__xludf.DUMMYFUNCTION("""COMPUTED_VALUE"""),0.0)</f>
        <v>0</v>
      </c>
      <c r="G89" s="46">
        <f>IFERROR(__xludf.DUMMYFUNCTION("""COMPUTED_VALUE"""),0.0)</f>
        <v>0</v>
      </c>
      <c r="H89" s="46"/>
      <c r="I89" s="46">
        <f>IFERROR(__xludf.DUMMYFUNCTION("""COMPUTED_VALUE"""),0.0)</f>
        <v>0</v>
      </c>
      <c r="J89" s="46">
        <f>IFERROR(__xludf.DUMMYFUNCTION("""COMPUTED_VALUE"""),1174558.0)</f>
        <v>1174558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IFERROR(__xludf.DUMMYFUNCTION("""COMPUTED_VALUE"""),1174558.0)</f>
        <v>1174558</v>
      </c>
      <c r="P89" s="47">
        <f>IFERROR(__xludf.DUMMYFUNCTION("""COMPUTED_VALUE"""),0.011562930519908839)</f>
        <v>0.01156293052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68"/>
      <c r="D90" s="68"/>
      <c r="E90" s="68">
        <f>IFERROR(__xludf.DUMMYFUNCTION("""COMPUTED_VALUE"""),0.0)</f>
        <v>0</v>
      </c>
      <c r="F90" s="68">
        <f>IFERROR(__xludf.DUMMYFUNCTION("""COMPUTED_VALUE"""),0.0)</f>
        <v>0</v>
      </c>
      <c r="G90" s="68">
        <f>IFERROR(__xludf.DUMMYFUNCTION("""COMPUTED_VALUE"""),0.0)</f>
        <v>0</v>
      </c>
      <c r="H90" s="24"/>
      <c r="I90" s="68">
        <f>IFERROR(__xludf.DUMMYFUNCTION("""COMPUTED_VALUE"""),0.0)</f>
        <v>0</v>
      </c>
      <c r="J90" s="68">
        <f>IFERROR(__xludf.DUMMYFUNCTION("""COMPUTED_VALUE"""),0.0)</f>
        <v>0</v>
      </c>
      <c r="K90" s="68"/>
      <c r="L90" s="68"/>
      <c r="M90" s="68"/>
      <c r="N90" s="68"/>
      <c r="O90" s="52">
        <f>IFERROR(__xludf.DUMMYFUNCTION("""COMPUTED_VALUE"""),0.0)</f>
        <v>0</v>
      </c>
      <c r="P90" s="53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70"/>
      <c r="C91" s="68"/>
      <c r="D91" s="68"/>
      <c r="E91" s="68">
        <f>IFERROR(__xludf.DUMMYFUNCTION("""COMPUTED_VALUE"""),0.0)</f>
        <v>0</v>
      </c>
      <c r="F91" s="68">
        <f>IFERROR(__xludf.DUMMYFUNCTION("""COMPUTED_VALUE"""),0.0)</f>
        <v>0</v>
      </c>
      <c r="G91" s="68">
        <f>IFERROR(__xludf.DUMMYFUNCTION("""COMPUTED_VALUE"""),0.0)</f>
        <v>0</v>
      </c>
      <c r="H91" s="24"/>
      <c r="I91" s="68">
        <f>IFERROR(__xludf.DUMMYFUNCTION("""COMPUTED_VALUE"""),0.0)</f>
        <v>0</v>
      </c>
      <c r="J91" s="68">
        <f>IFERROR(__xludf.DUMMYFUNCTION("""COMPUTED_VALUE"""),1174558.0)</f>
        <v>1174558</v>
      </c>
      <c r="K91" s="68"/>
      <c r="L91" s="68"/>
      <c r="M91" s="68"/>
      <c r="N91" s="68"/>
      <c r="O91" s="52">
        <f>IFERROR(__xludf.DUMMYFUNCTION("""COMPUTED_VALUE"""),1174558.0)</f>
        <v>1174558</v>
      </c>
      <c r="P91" s="53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62">
        <f>IFERROR(__xludf.DUMMYFUNCTION("""COMPUTED_VALUE"""),13430.0)</f>
        <v>13430</v>
      </c>
      <c r="D92" s="62"/>
      <c r="E92" s="62">
        <f>IFERROR(__xludf.DUMMYFUNCTION("""COMPUTED_VALUE"""),0.0)</f>
        <v>0</v>
      </c>
      <c r="F92" s="62">
        <f>IFERROR(__xludf.DUMMYFUNCTION("""COMPUTED_VALUE"""),0.0)</f>
        <v>0</v>
      </c>
      <c r="G92" s="62">
        <f>IFERROR(__xludf.DUMMYFUNCTION("""COMPUTED_VALUE"""),0.0)</f>
        <v>0</v>
      </c>
      <c r="H92" s="24"/>
      <c r="I92" s="62">
        <f>IFERROR(__xludf.DUMMYFUNCTION("""COMPUTED_VALUE"""),0.0)</f>
        <v>0</v>
      </c>
      <c r="J92" s="62">
        <f>IFERROR(__xludf.DUMMYFUNCTION("""COMPUTED_VALUE"""),0.0)</f>
        <v>0</v>
      </c>
      <c r="K92" s="62"/>
      <c r="L92" s="62"/>
      <c r="M92" s="62"/>
      <c r="N92" s="62"/>
      <c r="O92" s="46">
        <f>IFERROR(__xludf.DUMMYFUNCTION("""COMPUTED_VALUE"""),13430.0)</f>
        <v>13430</v>
      </c>
      <c r="P92" s="47">
        <f>IFERROR(__xludf.DUMMYFUNCTION("""COMPUTED_VALUE"""),1.3221156969887884E-4)</f>
        <v>0.0001322115697</v>
      </c>
      <c r="Q92" s="16"/>
    </row>
    <row r="93" ht="15.75" customHeight="1">
      <c r="A93" s="48" t="str">
        <f>IFERROR(__xludf.DUMMYFUNCTION("""COMPUTED_VALUE"""),"販売促進費")</f>
        <v>販売促進費</v>
      </c>
      <c r="B93" s="67">
        <f>IFERROR(__xludf.DUMMYFUNCTION("""COMPUTED_VALUE"""),301494.0)</f>
        <v>301494</v>
      </c>
      <c r="C93" s="62">
        <f>IFERROR(__xludf.DUMMYFUNCTION("""COMPUTED_VALUE"""),382000.0)</f>
        <v>382000</v>
      </c>
      <c r="D93" s="62">
        <f>IFERROR(__xludf.DUMMYFUNCTION("""COMPUTED_VALUE"""),242000.0)</f>
        <v>242000</v>
      </c>
      <c r="E93" s="62">
        <f>IFERROR(__xludf.DUMMYFUNCTION("""COMPUTED_VALUE"""),0.0)</f>
        <v>0</v>
      </c>
      <c r="F93" s="62">
        <f>IFERROR(__xludf.DUMMYFUNCTION("""COMPUTED_VALUE"""),0.0)</f>
        <v>0</v>
      </c>
      <c r="G93" s="62">
        <f>IFERROR(__xludf.DUMMYFUNCTION("""COMPUTED_VALUE"""),294800.0)</f>
        <v>294800</v>
      </c>
      <c r="H93" s="24"/>
      <c r="I93" s="62">
        <f>IFERROR(__xludf.DUMMYFUNCTION("""COMPUTED_VALUE"""),0.0)</f>
        <v>0</v>
      </c>
      <c r="J93" s="62">
        <f>IFERROR(__xludf.DUMMYFUNCTION("""COMPUTED_VALUE"""),0.0)</f>
        <v>0</v>
      </c>
      <c r="K93" s="62"/>
      <c r="L93" s="62"/>
      <c r="M93" s="62"/>
      <c r="N93" s="62"/>
      <c r="O93" s="46">
        <f>IFERROR(__xludf.DUMMYFUNCTION("""COMPUTED_VALUE"""),1220294.0)</f>
        <v>1220294</v>
      </c>
      <c r="P93" s="47">
        <f>IFERROR(__xludf.DUMMYFUNCTION("""COMPUTED_VALUE"""),0.012013178349525215)</f>
        <v>0.01201317835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55"/>
      <c r="D94" s="55"/>
      <c r="E94" s="55"/>
      <c r="F94" s="55"/>
      <c r="G94" s="55"/>
      <c r="H94" s="24"/>
      <c r="I94" s="55"/>
      <c r="J94" s="55"/>
      <c r="K94" s="55"/>
      <c r="L94" s="55"/>
      <c r="M94" s="55"/>
      <c r="N94" s="55"/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IFERROR(__xludf.DUMMYFUNCTION("""COMPUTED_VALUE"""),0.038246818031768756)</f>
        <v>0.03824681803</v>
      </c>
      <c r="C96" s="56">
        <f>IFERROR(__xludf.DUMMYFUNCTION("""COMPUTED_VALUE"""),1.7647231835606233E-5)</f>
        <v>0.00001764723184</v>
      </c>
      <c r="D96" s="56">
        <f>IFERROR(__xludf.DUMMYFUNCTION("""COMPUTED_VALUE"""),9.098939338887918E-5)</f>
        <v>0.00009098939339</v>
      </c>
      <c r="E96" s="56">
        <f>IFERROR(__xludf.DUMMYFUNCTION("""COMPUTED_VALUE"""),0.07598278561416243)</f>
        <v>0.07598278561</v>
      </c>
      <c r="F96" s="56">
        <f>IFERROR(__xludf.DUMMYFUNCTION("""COMPUTED_VALUE"""),0.03720486917100049)</f>
        <v>0.03720486917</v>
      </c>
      <c r="G96" s="56">
        <f>IFERROR(__xludf.DUMMYFUNCTION("""COMPUTED_VALUE"""),0.0037043926720377687)</f>
        <v>0.003704392672</v>
      </c>
      <c r="H96" s="24"/>
      <c r="I96" s="56">
        <f>IFERROR(__xludf.DUMMYFUNCTION("""COMPUTED_VALUE"""),0.004963237057072927)</f>
        <v>0.004963237057</v>
      </c>
      <c r="J96" s="56">
        <f>IFERROR(__xludf.DUMMYFUNCTION("""COMPUTED_VALUE"""),2.727102676183956E-4)</f>
        <v>0.0002727102676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IFERROR(__xludf.DUMMYFUNCTION("""COMPUTED_VALUE"""),0.014535099597495164)</f>
        <v>0.0145350996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IFERROR(__xludf.DUMMYFUNCTION("""COMPUTED_VALUE"""),0.39552638510403)</f>
        <v>0.3955263851</v>
      </c>
      <c r="C97" s="56">
        <f>IFERROR(__xludf.DUMMYFUNCTION("""COMPUTED_VALUE"""),0.34776723301208834)</f>
        <v>0.347767233</v>
      </c>
      <c r="D97" s="56">
        <f>IFERROR(__xludf.DUMMYFUNCTION("""COMPUTED_VALUE"""),0.15813233149143466)</f>
        <v>0.1581323315</v>
      </c>
      <c r="E97" s="56">
        <f>IFERROR(__xludf.DUMMYFUNCTION("""COMPUTED_VALUE"""),0.38704550518974135)</f>
        <v>0.3870455052</v>
      </c>
      <c r="F97" s="56">
        <f>IFERROR(__xludf.DUMMYFUNCTION("""COMPUTED_VALUE"""),0.31323425140970057)</f>
        <v>0.3132342514</v>
      </c>
      <c r="G97" s="56">
        <f>IFERROR(__xludf.DUMMYFUNCTION("""COMPUTED_VALUE"""),0.386420166863379)</f>
        <v>0.3864201669</v>
      </c>
      <c r="H97" s="24"/>
      <c r="I97" s="56">
        <f>IFERROR(__xludf.DUMMYFUNCTION("""COMPUTED_VALUE"""),0.4858381398708196)</f>
        <v>0.4858381399</v>
      </c>
      <c r="J97" s="56">
        <f>IFERROR(__xludf.DUMMYFUNCTION("""COMPUTED_VALUE"""),0.46100243173056943)</f>
        <v>0.4610024317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 t="str">
        <f>IFERROR(__xludf.DUMMYFUNCTION("""COMPUTED_VALUE"""),"")</f>
        <v/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IFERROR(__xludf.DUMMYFUNCTION("""COMPUTED_VALUE"""),1253052.2727272727)</f>
        <v>1253052.273</v>
      </c>
      <c r="C98" s="46">
        <f>IFERROR(__xludf.DUMMYFUNCTION("""COMPUTED_VALUE"""),1684167.9090909092)</f>
        <v>1684167.909</v>
      </c>
      <c r="D98" s="46">
        <f>IFERROR(__xludf.DUMMYFUNCTION("""COMPUTED_VALUE"""),7947896.818181818)</f>
        <v>7947896.818</v>
      </c>
      <c r="E98" s="46">
        <f>IFERROR(__xludf.DUMMYFUNCTION("""COMPUTED_VALUE"""),1523743.1818181819)</f>
        <v>1523743.182</v>
      </c>
      <c r="F98" s="46">
        <f>IFERROR(__xludf.DUMMYFUNCTION("""COMPUTED_VALUE"""),1901533.090909091)</f>
        <v>1901533.091</v>
      </c>
      <c r="G98" s="46">
        <f>IFERROR(__xludf.DUMMYFUNCTION("""COMPUTED_VALUE"""),1540721.8181818181)</f>
        <v>1540721.818</v>
      </c>
      <c r="H98" s="46"/>
      <c r="I98" s="46">
        <f>IFERROR(__xludf.DUMMYFUNCTION("""COMPUTED_VALUE"""),1214340.2727272727)</f>
        <v>1214340.273</v>
      </c>
      <c r="J98" s="46">
        <f>IFERROR(__xludf.DUMMYFUNCTION("""COMPUTED_VALUE"""),1177572.0)</f>
        <v>1177572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IFERROR(__xludf.DUMMYFUNCTION("""COMPUTED_VALUE"""),1.8243027363636363E7)</f>
        <v>18243027.36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/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IFERROR(__xludf.DUMMYFUNCTION("""COMPUTED_VALUE"""),5439752.727272727)</f>
        <v>5439752.727</v>
      </c>
      <c r="C100" s="44">
        <f>IFERROR(__xludf.DUMMYFUNCTION("""COMPUTED_VALUE"""),9747297.09090909)</f>
        <v>9747297.091</v>
      </c>
      <c r="D100" s="44">
        <f>IFERROR(__xludf.DUMMYFUNCTION("""COMPUTED_VALUE"""),6.540181218181818E7)</f>
        <v>65401812.18</v>
      </c>
      <c r="E100" s="44">
        <f>IFERROR(__xludf.DUMMYFUNCTION("""COMPUTED_VALUE"""),7600210.818181818)</f>
        <v>7600210.818</v>
      </c>
      <c r="F100" s="44">
        <f>IFERROR(__xludf.DUMMYFUNCTION("""COMPUTED_VALUE"""),1.1905902909090908E7)</f>
        <v>11905902.91</v>
      </c>
      <c r="G100" s="44">
        <f>IFERROR(__xludf.DUMMYFUNCTION("""COMPUTED_VALUE"""),8178255.181818182)</f>
        <v>8178255.182</v>
      </c>
      <c r="H100" s="24"/>
      <c r="I100" s="44">
        <f>IFERROR(__xludf.DUMMYFUNCTION("""COMPUTED_VALUE"""),4797935.727272727)</f>
        <v>4797935.727</v>
      </c>
      <c r="J100" s="44">
        <f>IFERROR(__xludf.DUMMYFUNCTION("""COMPUTED_VALUE"""),4574413.0)</f>
        <v>4574413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IFERROR(__xludf.DUMMYFUNCTION("""COMPUTED_VALUE"""),1.1764557963636363E8)</f>
        <v>117645579.6</v>
      </c>
      <c r="P100" s="45">
        <f>IFERROR(__xludf.DUMMYFUNCTION("""COMPUTED_VALUE"""),0.34367040230915585)</f>
        <v>0.3436704023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IFERROR(__xludf.DUMMYFUNCTION("""COMPUTED_VALUE"""),0.0)</f>
        <v>0</v>
      </c>
      <c r="F101" s="46">
        <f>IFERROR(__xludf.DUMMYFUNCTION("""COMPUTED_VALUE"""),0.0)</f>
        <v>0</v>
      </c>
      <c r="G101" s="46">
        <f>IFERROR(__xludf.DUMMYFUNCTION("""COMPUTED_VALUE"""),0.0)</f>
        <v>0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IFERROR(__xludf.DUMMYFUNCTION("""COMPUTED_VALUE"""),0.0)</f>
        <v>0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68"/>
      <c r="D102" s="68"/>
      <c r="E102" s="68"/>
      <c r="F102" s="68"/>
      <c r="G102" s="68"/>
      <c r="H102" s="24"/>
      <c r="I102" s="68"/>
      <c r="J102" s="68"/>
      <c r="K102" s="68"/>
      <c r="L102" s="68"/>
      <c r="M102" s="68"/>
      <c r="N102" s="68"/>
      <c r="O102" s="52">
        <f>IFERROR(__xludf.DUMMYFUNCTION("""COMPUTED_VALUE"""),0.0)</f>
        <v>0</v>
      </c>
      <c r="P102" s="53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68"/>
      <c r="D103" s="68"/>
      <c r="E103" s="68"/>
      <c r="F103" s="68"/>
      <c r="G103" s="68"/>
      <c r="H103" s="24"/>
      <c r="I103" s="68"/>
      <c r="J103" s="68"/>
      <c r="K103" s="68"/>
      <c r="L103" s="68"/>
      <c r="M103" s="68"/>
      <c r="N103" s="68"/>
      <c r="O103" s="52">
        <f>IFERROR(__xludf.DUMMYFUNCTION("""COMPUTED_VALUE"""),0.0)</f>
        <v>0</v>
      </c>
      <c r="P103" s="53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68"/>
      <c r="D104" s="68"/>
      <c r="E104" s="68"/>
      <c r="F104" s="68"/>
      <c r="G104" s="68"/>
      <c r="H104" s="24"/>
      <c r="I104" s="68"/>
      <c r="J104" s="68"/>
      <c r="K104" s="68"/>
      <c r="L104" s="68"/>
      <c r="M104" s="68"/>
      <c r="N104" s="68"/>
      <c r="O104" s="52">
        <f>IFERROR(__xludf.DUMMYFUNCTION("""COMPUTED_VALUE"""),0.0)</f>
        <v>0</v>
      </c>
      <c r="P104" s="53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46">
        <f>IFERROR(__xludf.DUMMYFUNCTION("""COMPUTED_VALUE"""),0.0)</f>
        <v>0</v>
      </c>
      <c r="D105" s="46">
        <f>IFERROR(__xludf.DUMMYFUNCTION("""COMPUTED_VALUE"""),0.0)</f>
        <v>0</v>
      </c>
      <c r="E105" s="46">
        <f>IFERROR(__xludf.DUMMYFUNCTION("""COMPUTED_VALUE"""),0.0)</f>
        <v>0</v>
      </c>
      <c r="F105" s="46">
        <f>IFERROR(__xludf.DUMMYFUNCTION("""COMPUTED_VALUE"""),0.0)</f>
        <v>0</v>
      </c>
      <c r="G105" s="46">
        <f>IFERROR(__xludf.DUMMYFUNCTION("""COMPUTED_VALUE"""),0.0)</f>
        <v>0</v>
      </c>
      <c r="H105" s="24"/>
      <c r="I105" s="46">
        <f>IFERROR(__xludf.DUMMYFUNCTION("""COMPUTED_VALUE"""),0.0)</f>
        <v>0</v>
      </c>
      <c r="J105" s="46">
        <f>IFERROR(__xludf.DUMMYFUNCTION("""COMPUTED_VALUE"""),0.0)</f>
        <v>0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IFERROR(__xludf.DUMMYFUNCTION("""COMPUTED_VALUE"""),0.0)</f>
        <v>0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68"/>
      <c r="D106" s="68"/>
      <c r="E106" s="68"/>
      <c r="F106" s="68"/>
      <c r="G106" s="68"/>
      <c r="H106" s="24"/>
      <c r="I106" s="68"/>
      <c r="J106" s="68">
        <f>IFERROR(__xludf.DUMMYFUNCTION("""COMPUTED_VALUE"""),0.0)</f>
        <v>0</v>
      </c>
      <c r="K106" s="68"/>
      <c r="L106" s="68"/>
      <c r="M106" s="68"/>
      <c r="N106" s="68"/>
      <c r="O106" s="52">
        <f>IFERROR(__xludf.DUMMYFUNCTION("""COMPUTED_VALUE"""),0.0)</f>
        <v>0</v>
      </c>
      <c r="P106" s="53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68"/>
      <c r="D107" s="68"/>
      <c r="E107" s="68"/>
      <c r="F107" s="68"/>
      <c r="G107" s="68"/>
      <c r="H107" s="24"/>
      <c r="I107" s="68"/>
      <c r="J107" s="68">
        <f>IFERROR(__xludf.DUMMYFUNCTION("""COMPUTED_VALUE"""),0.0)</f>
        <v>0</v>
      </c>
      <c r="K107" s="68"/>
      <c r="L107" s="68"/>
      <c r="M107" s="68"/>
      <c r="N107" s="68"/>
      <c r="O107" s="52">
        <f>IFERROR(__xludf.DUMMYFUNCTION("""COMPUTED_VALUE"""),0.0)</f>
        <v>0</v>
      </c>
      <c r="P107" s="53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IFERROR(__xludf.DUMMYFUNCTION("""COMPUTED_VALUE"""),5439752.727272727)</f>
        <v>5439752.727</v>
      </c>
      <c r="C108" s="44">
        <f>IFERROR(__xludf.DUMMYFUNCTION("""COMPUTED_VALUE"""),9747297.09090909)</f>
        <v>9747297.091</v>
      </c>
      <c r="D108" s="44">
        <f>IFERROR(__xludf.DUMMYFUNCTION("""COMPUTED_VALUE"""),6.540181218181818E7)</f>
        <v>65401812.18</v>
      </c>
      <c r="E108" s="44">
        <f>IFERROR(__xludf.DUMMYFUNCTION("""COMPUTED_VALUE"""),7600210.818181818)</f>
        <v>7600210.818</v>
      </c>
      <c r="F108" s="44">
        <f>IFERROR(__xludf.DUMMYFUNCTION("""COMPUTED_VALUE"""),1.1905902909090908E7)</f>
        <v>11905902.91</v>
      </c>
      <c r="G108" s="44">
        <f>IFERROR(__xludf.DUMMYFUNCTION("""COMPUTED_VALUE"""),8178255.181818182)</f>
        <v>8178255.182</v>
      </c>
      <c r="H108" s="24"/>
      <c r="I108" s="44">
        <f>IFERROR(__xludf.DUMMYFUNCTION("""COMPUTED_VALUE"""),4797935.727272727)</f>
        <v>4797935.727</v>
      </c>
      <c r="J108" s="44">
        <f>IFERROR(__xludf.DUMMYFUNCTION("""COMPUTED_VALUE"""),4574413.0)</f>
        <v>4574413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IFERROR(__xludf.DUMMYFUNCTION("""COMPUTED_VALUE"""),1.1764557963636363E8)</f>
        <v>117645579.6</v>
      </c>
      <c r="P108" s="45">
        <f>IFERROR(__xludf.DUMMYFUNCTION("""COMPUTED_VALUE"""),0.34367040230915585)</f>
        <v>0.3436704023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IFERROR(__xludf.DUMMYFUNCTION("""COMPUTED_VALUE"""),2175901.090909091)</f>
        <v>2175901.091</v>
      </c>
      <c r="C109" s="46">
        <f>IFERROR(__xludf.DUMMYFUNCTION("""COMPUTED_VALUE"""),3898918.836363636)</f>
        <v>3898918.836</v>
      </c>
      <c r="D109" s="46">
        <f>IFERROR(__xludf.DUMMYFUNCTION("""COMPUTED_VALUE"""),2.6160724872727275E7)</f>
        <v>26160724.87</v>
      </c>
      <c r="E109" s="46">
        <f>IFERROR(__xludf.DUMMYFUNCTION("""COMPUTED_VALUE"""),3040084.3272727276)</f>
        <v>3040084.327</v>
      </c>
      <c r="F109" s="46">
        <f>IFERROR(__xludf.DUMMYFUNCTION("""COMPUTED_VALUE"""),4762361.163636363)</f>
        <v>4762361.164</v>
      </c>
      <c r="G109" s="46">
        <f>IFERROR(__xludf.DUMMYFUNCTION("""COMPUTED_VALUE"""),3271302.0727272728)</f>
        <v>3271302.073</v>
      </c>
      <c r="H109" s="24"/>
      <c r="I109" s="46">
        <f>IFERROR(__xludf.DUMMYFUNCTION("""COMPUTED_VALUE"""),1919174.2909090908)</f>
        <v>1919174.291</v>
      </c>
      <c r="J109" s="46">
        <f>IFERROR(__xludf.DUMMYFUNCTION("""COMPUTED_VALUE"""),1829765.2000000002)</f>
        <v>1829765.2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IFERROR(__xludf.DUMMYFUNCTION("""COMPUTED_VALUE"""),4.705823185454545E7)</f>
        <v>47058231.85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IFERROR(__xludf.DUMMYFUNCTION("""COMPUTED_VALUE"""),3263851.636363636)</f>
        <v>3263851.636</v>
      </c>
      <c r="C110" s="44">
        <f>IFERROR(__xludf.DUMMYFUNCTION("""COMPUTED_VALUE"""),5848378.254545454)</f>
        <v>5848378.255</v>
      </c>
      <c r="D110" s="44">
        <f>IFERROR(__xludf.DUMMYFUNCTION("""COMPUTED_VALUE"""),3.9241087309090905E7)</f>
        <v>39241087.31</v>
      </c>
      <c r="E110" s="44">
        <f>IFERROR(__xludf.DUMMYFUNCTION("""COMPUTED_VALUE"""),4560126.49090909)</f>
        <v>4560126.491</v>
      </c>
      <c r="F110" s="44">
        <f>IFERROR(__xludf.DUMMYFUNCTION("""COMPUTED_VALUE"""),7143541.745454545)</f>
        <v>7143541.745</v>
      </c>
      <c r="G110" s="44">
        <f>IFERROR(__xludf.DUMMYFUNCTION("""COMPUTED_VALUE"""),4906953.109090909)</f>
        <v>4906953.109</v>
      </c>
      <c r="H110" s="24"/>
      <c r="I110" s="44">
        <f>IFERROR(__xludf.DUMMYFUNCTION("""COMPUTED_VALUE"""),2878761.4363636356)</f>
        <v>2878761.436</v>
      </c>
      <c r="J110" s="44">
        <f>IFERROR(__xludf.DUMMYFUNCTION("""COMPUTED_VALUE"""),2744647.8)</f>
        <v>2744647.8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IFERROR(__xludf.DUMMYFUNCTION("""COMPUTED_VALUE"""),7.058734778181818E7)</f>
        <v>70587347.78</v>
      </c>
      <c r="P110" s="45">
        <f>IFERROR(__xludf.DUMMYFUNCTION("""COMPUTED_VALUE"""),0.2062022413854935)</f>
        <v>0.2062022414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IFERROR(__xludf.DUMMYFUNCTION("""COMPUTED_VALUE"""),388553.76623376616)</f>
        <v>388553.7662</v>
      </c>
      <c r="C112" s="44">
        <f>IFERROR(__xludf.DUMMYFUNCTION("""COMPUTED_VALUE"""),649819.806060606)</f>
        <v>649819.8061</v>
      </c>
      <c r="D112" s="44">
        <f>IFERROR(__xludf.DUMMYFUNCTION("""COMPUTED_VALUE"""),4360120.812121212)</f>
        <v>4360120.812</v>
      </c>
      <c r="E112" s="44">
        <f>IFERROR(__xludf.DUMMYFUNCTION("""COMPUTED_VALUE"""),506680.72121212125)</f>
        <v>506680.7212</v>
      </c>
      <c r="F112" s="44">
        <f>IFERROR(__xludf.DUMMYFUNCTION("""COMPUTED_VALUE"""),850421.6363636364)</f>
        <v>850421.6364</v>
      </c>
      <c r="G112" s="44">
        <f>IFERROR(__xludf.DUMMYFUNCTION("""COMPUTED_VALUE"""),584161.0844155845)</f>
        <v>584161.0844</v>
      </c>
      <c r="H112" s="24"/>
      <c r="I112" s="44">
        <f>IFERROR(__xludf.DUMMYFUNCTION("""COMPUTED_VALUE"""),319862.3818181818)</f>
        <v>319862.3818</v>
      </c>
      <c r="J112" s="44">
        <f>IFERROR(__xludf.DUMMYFUNCTION("""COMPUTED_VALUE"""),304960.86666666664)</f>
        <v>304960.8667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IFERROR(__xludf.DUMMYFUNCTION("""COMPUTED_VALUE"""),1005517.7746697746)</f>
        <v>1005517.775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IFERROR(__xludf.DUMMYFUNCTION("""COMPUTED_VALUE"""),14.0)</f>
        <v>14</v>
      </c>
      <c r="C113" s="71">
        <f>IFERROR(__xludf.DUMMYFUNCTION("""COMPUTED_VALUE"""),15.0)</f>
        <v>15</v>
      </c>
      <c r="D113" s="71">
        <f>IFERROR(__xludf.DUMMYFUNCTION("""COMPUTED_VALUE"""),15.0)</f>
        <v>15</v>
      </c>
      <c r="E113" s="71">
        <f>IFERROR(__xludf.DUMMYFUNCTION("""COMPUTED_VALUE"""),15.0)</f>
        <v>15</v>
      </c>
      <c r="F113" s="71">
        <f>IFERROR(__xludf.DUMMYFUNCTION("""COMPUTED_VALUE"""),14.0)</f>
        <v>14</v>
      </c>
      <c r="G113" s="71">
        <f>IFERROR(__xludf.DUMMYFUNCTION("""COMPUTED_VALUE"""),14.0)</f>
        <v>14</v>
      </c>
      <c r="H113" s="29"/>
      <c r="I113" s="71">
        <f>IFERROR(__xludf.DUMMYFUNCTION("""COMPUTED_VALUE"""),15.0)</f>
        <v>15</v>
      </c>
      <c r="J113" s="71">
        <f>IFERROR(__xludf.DUMMYFUNCTION("""COMPUTED_VALUE"""),15.0)</f>
        <v>15</v>
      </c>
      <c r="K113" s="71"/>
      <c r="L113" s="71"/>
      <c r="M113" s="71"/>
      <c r="N113" s="71"/>
      <c r="O113" s="50">
        <f>IFERROR(__xludf.DUMMYFUNCTION("""COMPUTED_VALUE"""),117.0)</f>
        <v>117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IFERROR(__xludf.DUMMYFUNCTION("""COMPUTED_VALUE"""),3.0)</f>
        <v>3</v>
      </c>
      <c r="C114" s="71">
        <f>IFERROR(__xludf.DUMMYFUNCTION("""COMPUTED_VALUE"""),3.0)</f>
        <v>3</v>
      </c>
      <c r="D114" s="71">
        <f>IFERROR(__xludf.DUMMYFUNCTION("""COMPUTED_VALUE"""),3.0)</f>
        <v>3</v>
      </c>
      <c r="E114" s="71">
        <f>IFERROR(__xludf.DUMMYFUNCTION("""COMPUTED_VALUE"""),4.0)</f>
        <v>4</v>
      </c>
      <c r="F114" s="71">
        <f>IFERROR(__xludf.DUMMYFUNCTION("""COMPUTED_VALUE"""),4.0)</f>
        <v>4</v>
      </c>
      <c r="G114" s="71">
        <f>IFERROR(__xludf.DUMMYFUNCTION("""COMPUTED_VALUE"""),4.0)</f>
        <v>4</v>
      </c>
      <c r="H114" s="29"/>
      <c r="I114" s="71">
        <f>IFERROR(__xludf.DUMMYFUNCTION("""COMPUTED_VALUE"""),4.0)</f>
        <v>4</v>
      </c>
      <c r="J114" s="71">
        <f>IFERROR(__xludf.DUMMYFUNCTION("""COMPUTED_VALUE"""),4.0)</f>
        <v>4</v>
      </c>
      <c r="K114" s="71"/>
      <c r="L114" s="71"/>
      <c r="M114" s="71"/>
      <c r="N114" s="71"/>
      <c r="O114" s="50">
        <f>IFERROR(__xludf.DUMMYFUNCTION("""COMPUTED_VALUE"""),29.0)</f>
        <v>29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IFERROR(__xludf.DUMMYFUNCTION("""COMPUTED_VALUE"""),-4664517.112203112)</f>
        <v>-4664517.112</v>
      </c>
      <c r="C116" s="44">
        <f>IFERROR(__xludf.DUMMYFUNCTION("""COMPUTED_VALUE"""),-491225.39446640573)</f>
        <v>-491225.3945</v>
      </c>
      <c r="D116" s="44">
        <f>IFERROR(__xludf.DUMMYFUNCTION("""COMPUTED_VALUE"""),5.7460941544664025E7)</f>
        <v>57460941.54</v>
      </c>
      <c r="E116" s="44">
        <f>IFERROR(__xludf.DUMMYFUNCTION("""COMPUTED_VALUE"""),-233894.3506493494)</f>
        <v>-233894.3506</v>
      </c>
      <c r="F116" s="44">
        <f>IFERROR(__xludf.DUMMYFUNCTION("""COMPUTED_VALUE"""),836062.0774703529)</f>
        <v>836062.0775</v>
      </c>
      <c r="G116" s="44">
        <f>IFERROR(__xludf.DUMMYFUNCTION("""COMPUTED_VALUE"""),748916.893048129)</f>
        <v>748916.893</v>
      </c>
      <c r="H116" s="24"/>
      <c r="I116" s="44">
        <f>IFERROR(__xludf.DUMMYFUNCTION("""COMPUTED_VALUE"""),-4185496.6271963324)</f>
        <v>-4185496.627</v>
      </c>
      <c r="J116" s="44">
        <f>IFERROR(__xludf.DUMMYFUNCTION("""COMPUTED_VALUE"""),-3761598.2652141256)</f>
        <v>-3761598.265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IFERROR(__xludf.DUMMYFUNCTION("""COMPUTED_VALUE"""),4.570918876545318E7)</f>
        <v>45709188.77</v>
      </c>
      <c r="P116" s="45">
        <f>IFERROR(__xludf.DUMMYFUNCTION("""COMPUTED_VALUE"""),0.13352728883485313)</f>
        <v>0.1335272888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IFERROR(__xludf.DUMMYFUNCTION("""COMPUTED_VALUE"""),-4664517.112203112)</f>
        <v>-4664517.112</v>
      </c>
      <c r="C117" s="46">
        <f>IFERROR(__xludf.DUMMYFUNCTION("""COMPUTED_VALUE"""),-491225.39446640573)</f>
        <v>-491225.3945</v>
      </c>
      <c r="D117" s="46">
        <f>IFERROR(__xludf.DUMMYFUNCTION("""COMPUTED_VALUE"""),5.7460941544664025E7)</f>
        <v>57460941.54</v>
      </c>
      <c r="E117" s="46">
        <f>IFERROR(__xludf.DUMMYFUNCTION("""COMPUTED_VALUE"""),-233894.3506493494)</f>
        <v>-233894.3506</v>
      </c>
      <c r="F117" s="46">
        <f>IFERROR(__xludf.DUMMYFUNCTION("""COMPUTED_VALUE"""),836062.0774703529)</f>
        <v>836062.0775</v>
      </c>
      <c r="G117" s="46">
        <f>IFERROR(__xludf.DUMMYFUNCTION("""COMPUTED_VALUE"""),748916.893048129)</f>
        <v>748916.893</v>
      </c>
      <c r="H117" s="24"/>
      <c r="I117" s="46">
        <f>IFERROR(__xludf.DUMMYFUNCTION("""COMPUTED_VALUE"""),-4185496.6271963324)</f>
        <v>-4185496.627</v>
      </c>
      <c r="J117" s="46">
        <f>IFERROR(__xludf.DUMMYFUNCTION("""COMPUTED_VALUE"""),-3761598.2652141256)</f>
        <v>-3761598.265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IFERROR(__xludf.DUMMYFUNCTION("""COMPUTED_VALUE"""),4.570918876545318E7)</f>
        <v>45709188.77</v>
      </c>
      <c r="P117" s="59">
        <f>IFERROR(__xludf.DUMMYFUNCTION("""COMPUTED_VALUE"""),0.13352728883485313)</f>
        <v>0.1335272888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IFERROR(__xludf.DUMMYFUNCTION("""COMPUTED_VALUE"""),17.0)</f>
        <v>17</v>
      </c>
      <c r="C118" s="58">
        <f>IFERROR(__xludf.DUMMYFUNCTION("""COMPUTED_VALUE"""),18.0)</f>
        <v>18</v>
      </c>
      <c r="D118" s="58">
        <f>IFERROR(__xludf.DUMMYFUNCTION("""COMPUTED_VALUE"""),18.0)</f>
        <v>18</v>
      </c>
      <c r="E118" s="58">
        <f>IFERROR(__xludf.DUMMYFUNCTION("""COMPUTED_VALUE"""),19.0)</f>
        <v>19</v>
      </c>
      <c r="F118" s="58">
        <f>IFERROR(__xludf.DUMMYFUNCTION("""COMPUTED_VALUE"""),18.0)</f>
        <v>18</v>
      </c>
      <c r="G118" s="58">
        <f>IFERROR(__xludf.DUMMYFUNCTION("""COMPUTED_VALUE"""),18.0)</f>
        <v>18</v>
      </c>
      <c r="H118" s="29"/>
      <c r="I118" s="58">
        <f>IFERROR(__xludf.DUMMYFUNCTION("""COMPUTED_VALUE"""),19.0)</f>
        <v>19</v>
      </c>
      <c r="J118" s="58">
        <f>IFERROR(__xludf.DUMMYFUNCTION("""COMPUTED_VALUE"""),19.0)</f>
        <v>19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IFERROR(__xludf.DUMMYFUNCTION("""COMPUTED_VALUE"""),146.0)</f>
        <v>146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IFERROR(__xludf.DUMMYFUNCTION("""COMPUTED_VALUE"""),0.3063063063063063)</f>
        <v>0.3063063063</v>
      </c>
      <c r="C119" s="49">
        <f>IFERROR(__xludf.DUMMYFUNCTION("""COMPUTED_VALUE"""),0.3130434782608696)</f>
        <v>0.3130434783</v>
      </c>
      <c r="D119" s="49">
        <f>IFERROR(__xludf.DUMMYFUNCTION("""COMPUTED_VALUE"""),0.3130434782608696)</f>
        <v>0.3130434783</v>
      </c>
      <c r="E119" s="49">
        <f>IFERROR(__xludf.DUMMYFUNCTION("""COMPUTED_VALUE"""),0.31932773109243695)</f>
        <v>0.3193277311</v>
      </c>
      <c r="F119" s="49">
        <f>IFERROR(__xludf.DUMMYFUNCTION("""COMPUTED_VALUE"""),0.3130434782608696)</f>
        <v>0.3130434783</v>
      </c>
      <c r="G119" s="49">
        <f>IFERROR(__xludf.DUMMYFUNCTION("""COMPUTED_VALUE"""),0.3025210084033613)</f>
        <v>0.3025210084</v>
      </c>
      <c r="H119" s="24"/>
      <c r="I119" s="49">
        <f>IFERROR(__xludf.DUMMYFUNCTION("""COMPUTED_VALUE"""),0.31932773109243695)</f>
        <v>0.3193277311</v>
      </c>
      <c r="J119" s="49">
        <f>IFERROR(__xludf.DUMMYFUNCTION("""COMPUTED_VALUE"""),0.3140495867768595)</f>
        <v>0.3140495868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IFERROR(__xludf.DUMMYFUNCTION("""COMPUTED_VALUE"""),0.31263383297644537)</f>
        <v>0.312633833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IFERROR(__xludf.DUMMYFUNCTION("""COMPUTED_VALUE"""),1.0104269839475838E7)</f>
        <v>10104269.84</v>
      </c>
      <c r="C120" s="46">
        <f>IFERROR(__xludf.DUMMYFUNCTION("""COMPUTED_VALUE"""),1.0238522485375496E7)</f>
        <v>10238522.49</v>
      </c>
      <c r="D120" s="46">
        <f>IFERROR(__xludf.DUMMYFUNCTION("""COMPUTED_VALUE"""),7940870.637154151)</f>
        <v>7940870.637</v>
      </c>
      <c r="E120" s="46">
        <f>IFERROR(__xludf.DUMMYFUNCTION("""COMPUTED_VALUE"""),7834105.168831168)</f>
        <v>7834105.169</v>
      </c>
      <c r="F120" s="46">
        <f>IFERROR(__xludf.DUMMYFUNCTION("""COMPUTED_VALUE"""),1.1069840831620555E7)</f>
        <v>11069840.83</v>
      </c>
      <c r="G120" s="46">
        <f>IFERROR(__xludf.DUMMYFUNCTION("""COMPUTED_VALUE"""),7429338.288770053)</f>
        <v>7429338.289</v>
      </c>
      <c r="H120" s="46"/>
      <c r="I120" s="46">
        <f>IFERROR(__xludf.DUMMYFUNCTION("""COMPUTED_VALUE"""),8983432.354469059)</f>
        <v>8983432.354</v>
      </c>
      <c r="J120" s="46">
        <f>IFERROR(__xludf.DUMMYFUNCTION("""COMPUTED_VALUE"""),8336011.265214126)</f>
        <v>8336011.265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IFERROR(__xludf.DUMMYFUNCTION("""COMPUTED_VALUE"""),7.193639087091044E7)</f>
        <v>71936390.87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IFERROR(__xludf.DUMMYFUNCTION("""COMPUTED_VALUE"""),4143851.0)</f>
        <v>4143851</v>
      </c>
      <c r="C122" s="46">
        <f>IFERROR(__xludf.DUMMYFUNCTION("""COMPUTED_VALUE"""),1873953.0)</f>
        <v>1873953</v>
      </c>
      <c r="D122" s="46">
        <f>IFERROR(__xludf.DUMMYFUNCTION("""COMPUTED_VALUE"""),1594500.0)</f>
        <v>1594500</v>
      </c>
      <c r="E122" s="46">
        <f>IFERROR(__xludf.DUMMYFUNCTION("""COMPUTED_VALUE"""),2970926.0)</f>
        <v>2970926</v>
      </c>
      <c r="F122" s="46">
        <f>IFERROR(__xludf.DUMMYFUNCTION("""COMPUTED_VALUE"""),1779977.0)</f>
        <v>1779977</v>
      </c>
      <c r="G122" s="46">
        <f>IFERROR(__xludf.DUMMYFUNCTION("""COMPUTED_VALUE"""),1759580.0)</f>
        <v>1759580</v>
      </c>
      <c r="H122" s="24"/>
      <c r="I122" s="46">
        <f>IFERROR(__xludf.DUMMYFUNCTION("""COMPUTED_VALUE"""),1761422.0)</f>
        <v>1761422</v>
      </c>
      <c r="J122" s="46">
        <f>IFERROR(__xludf.DUMMYFUNCTION("""COMPUTED_VALUE"""),2667682.0)</f>
        <v>2667682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IFERROR(__xludf.DUMMYFUNCTION("IMPORTRANGE(""https://docs.google.com/spreadsheets/d/1SlHuJEDBJ4Gy3WXeRPN-U9OYonTEM2Yhh4rIuiFr5bQ/edit#gid=256474166"",""採点!A:S"")"),"2022年度")</f>
        <v>2022年度</v>
      </c>
      <c r="B1" s="38">
        <f>IFERROR(__xludf.DUMMYFUNCTION("""COMPUTED_VALUE"""),6.0)</f>
        <v>6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IFERROR(__xludf.DUMMYFUNCTION("""COMPUTED_VALUE"""),"採点OS")</f>
        <v>採点OS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IFERROR(__xludf.DUMMYFUNCTION("""COMPUTED_VALUE"""),5265126.0)</f>
        <v>5265126</v>
      </c>
      <c r="C3" s="44">
        <f>IFERROR(__xludf.DUMMYFUNCTION("""COMPUTED_VALUE"""),1.4701863E7)</f>
        <v>14701863</v>
      </c>
      <c r="D3" s="44">
        <f>IFERROR(__xludf.DUMMYFUNCTION("""COMPUTED_VALUE"""),1.3179063E7)</f>
        <v>13179063</v>
      </c>
      <c r="E3" s="44">
        <f>IFERROR(__xludf.DUMMYFUNCTION("""COMPUTED_VALUE"""),7232622.0)</f>
        <v>7232622</v>
      </c>
      <c r="F3" s="44">
        <f>IFERROR(__xludf.DUMMYFUNCTION("""COMPUTED_VALUE"""),3575490.0)</f>
        <v>3575490</v>
      </c>
      <c r="G3" s="44">
        <f>IFERROR(__xludf.DUMMYFUNCTION("""COMPUTED_VALUE"""),9975954.0)</f>
        <v>9975954</v>
      </c>
      <c r="H3" s="24"/>
      <c r="I3" s="44">
        <f>IFERROR(__xludf.DUMMYFUNCTION("""COMPUTED_VALUE"""),8266495.0)</f>
        <v>8266495</v>
      </c>
      <c r="J3" s="44">
        <f>IFERROR(__xludf.DUMMYFUNCTION("""COMPUTED_VALUE"""),1.0717246E7)</f>
        <v>10717246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IFERROR(__xludf.DUMMYFUNCTION("""COMPUTED_VALUE"""),7.2913859E7)</f>
        <v>72913859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75">
        <f>IFERROR(__xludf.DUMMYFUNCTION("""COMPUTED_VALUE"""),5265126.0)</f>
        <v>5265126</v>
      </c>
      <c r="C9" s="62">
        <f>IFERROR(__xludf.DUMMYFUNCTION("""COMPUTED_VALUE"""),1.4701863E7)</f>
        <v>14701863</v>
      </c>
      <c r="D9" s="62">
        <f>IFERROR(__xludf.DUMMYFUNCTION("""COMPUTED_VALUE"""),1.3179063E7)</f>
        <v>13179063</v>
      </c>
      <c r="E9" s="62">
        <f>IFERROR(__xludf.DUMMYFUNCTION("""COMPUTED_VALUE"""),7232622.0)</f>
        <v>7232622</v>
      </c>
      <c r="F9" s="62">
        <f>IFERROR(__xludf.DUMMYFUNCTION("""COMPUTED_VALUE"""),3575490.0)</f>
        <v>3575490</v>
      </c>
      <c r="G9" s="62">
        <f>IFERROR(__xludf.DUMMYFUNCTION("""COMPUTED_VALUE"""),9975954.0)</f>
        <v>9975954</v>
      </c>
      <c r="H9" s="24"/>
      <c r="I9" s="62">
        <f>IFERROR(__xludf.DUMMYFUNCTION("""COMPUTED_VALUE"""),8266495.0)</f>
        <v>8266495</v>
      </c>
      <c r="J9" s="62">
        <f>IFERROR(__xludf.DUMMYFUNCTION("""COMPUTED_VALUE"""),1.0717246E7)</f>
        <v>10717246</v>
      </c>
      <c r="K9" s="62"/>
      <c r="L9" s="62"/>
      <c r="M9" s="62"/>
      <c r="N9" s="62"/>
      <c r="O9" s="46">
        <f>IFERROR(__xludf.DUMMYFUNCTION("""COMPUTED_VALUE"""),7.2913859E7)</f>
        <v>72913859</v>
      </c>
      <c r="P9" s="47">
        <f>IFERROR(__xludf.DUMMYFUNCTION("""COMPUTED_VALUE"""),1.0)</f>
        <v>1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IFERROR(__xludf.DUMMYFUNCTION("""COMPUTED_VALUE"""),3552536.0)</f>
        <v>3552536</v>
      </c>
      <c r="C16" s="44">
        <f>IFERROR(__xludf.DUMMYFUNCTION("""COMPUTED_VALUE"""),9742968.0)</f>
        <v>9742968</v>
      </c>
      <c r="D16" s="44">
        <f>IFERROR(__xludf.DUMMYFUNCTION("""COMPUTED_VALUE"""),7197670.0)</f>
        <v>7197670</v>
      </c>
      <c r="E16" s="44">
        <f>IFERROR(__xludf.DUMMYFUNCTION("""COMPUTED_VALUE"""),4013038.0)</f>
        <v>4013038</v>
      </c>
      <c r="F16" s="44">
        <f>IFERROR(__xludf.DUMMYFUNCTION("""COMPUTED_VALUE"""),2215039.0)</f>
        <v>2215039</v>
      </c>
      <c r="G16" s="44">
        <f>IFERROR(__xludf.DUMMYFUNCTION("""COMPUTED_VALUE"""),5868166.0)</f>
        <v>5868166</v>
      </c>
      <c r="H16" s="24"/>
      <c r="I16" s="44">
        <f>IFERROR(__xludf.DUMMYFUNCTION("""COMPUTED_VALUE"""),4873012.0)</f>
        <v>4873012</v>
      </c>
      <c r="J16" s="44">
        <f>IFERROR(__xludf.DUMMYFUNCTION("""COMPUTED_VALUE"""),5556099.0)</f>
        <v>5556099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IFERROR(__xludf.DUMMYFUNCTION("""COMPUTED_VALUE"""),4.3018528E7)</f>
        <v>43018528</v>
      </c>
      <c r="P16" s="45">
        <f>IFERROR(__xludf.DUMMYFUNCTION("""COMPUTED_VALUE"""),0.589991101691655)</f>
        <v>0.5899911017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>
        <f>IFERROR(__xludf.DUMMYFUNCTION("""COMPUTED_VALUE"""),0.0)</f>
        <v>0</v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>
        <f>IFERROR(__xludf.DUMMYFUNCTION("""COMPUTED_VALUE"""),0.0)</f>
        <v>0</v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>
        <f>IFERROR(__xludf.DUMMYFUNCTION("""COMPUTED_VALUE"""),0.0)</f>
        <v>0</v>
      </c>
      <c r="Q21" s="16"/>
    </row>
    <row r="22" ht="16.5" customHeight="1">
      <c r="A22" s="3" t="str">
        <f>IFERROR(__xludf.DUMMYFUNCTION("""COMPUTED_VALUE"""),"採点OS")</f>
        <v>採点OS</v>
      </c>
      <c r="B22" s="62">
        <f>IFERROR(__xludf.DUMMYFUNCTION("""COMPUTED_VALUE"""),3552536.0)</f>
        <v>3552536</v>
      </c>
      <c r="C22" s="62">
        <f>IFERROR(__xludf.DUMMYFUNCTION("""COMPUTED_VALUE"""),9742968.0)</f>
        <v>9742968</v>
      </c>
      <c r="D22" s="62">
        <f>IFERROR(__xludf.DUMMYFUNCTION("""COMPUTED_VALUE"""),7197670.0)</f>
        <v>7197670</v>
      </c>
      <c r="E22" s="62">
        <f>IFERROR(__xludf.DUMMYFUNCTION("""COMPUTED_VALUE"""),4013038.0)</f>
        <v>4013038</v>
      </c>
      <c r="F22" s="62">
        <f>IFERROR(__xludf.DUMMYFUNCTION("""COMPUTED_VALUE"""),2215039.0)</f>
        <v>2215039</v>
      </c>
      <c r="G22" s="62">
        <f>IFERROR(__xludf.DUMMYFUNCTION("""COMPUTED_VALUE"""),5868166.0)</f>
        <v>5868166</v>
      </c>
      <c r="H22" s="24"/>
      <c r="I22" s="62">
        <f>IFERROR(__xludf.DUMMYFUNCTION("""COMPUTED_VALUE"""),4873012.0)</f>
        <v>4873012</v>
      </c>
      <c r="J22" s="62">
        <f>IFERROR(__xludf.DUMMYFUNCTION("""COMPUTED_VALUE"""),5556099.0)</f>
        <v>5556099</v>
      </c>
      <c r="K22" s="62"/>
      <c r="L22" s="62"/>
      <c r="M22" s="62"/>
      <c r="N22" s="62"/>
      <c r="O22" s="46">
        <f>IFERROR(__xludf.DUMMYFUNCTION("""COMPUTED_VALUE"""),4.3018528E7)</f>
        <v>43018528</v>
      </c>
      <c r="P22" s="47">
        <f>IFERROR(__xludf.DUMMYFUNCTION("""COMPUTED_VALUE"""),1.0)</f>
        <v>1</v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>
        <f>IFERROR(__xludf.DUMMYFUNCTION("""COMPUTED_VALUE"""),0.0)</f>
        <v>0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>
        <f>IFERROR(__xludf.DUMMYFUNCTION("""COMPUTED_VALUE"""),0.0)</f>
        <v>0</v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IFERROR(__xludf.DUMMYFUNCTION("""COMPUTED_VALUE"""),1712590.0)</f>
        <v>1712590</v>
      </c>
      <c r="C29" s="44">
        <f>IFERROR(__xludf.DUMMYFUNCTION("""COMPUTED_VALUE"""),4958895.0)</f>
        <v>4958895</v>
      </c>
      <c r="D29" s="44">
        <f>IFERROR(__xludf.DUMMYFUNCTION("""COMPUTED_VALUE"""),5981393.0)</f>
        <v>5981393</v>
      </c>
      <c r="E29" s="44">
        <f>IFERROR(__xludf.DUMMYFUNCTION("""COMPUTED_VALUE"""),3219584.0)</f>
        <v>3219584</v>
      </c>
      <c r="F29" s="44">
        <f>IFERROR(__xludf.DUMMYFUNCTION("""COMPUTED_VALUE"""),1360451.0)</f>
        <v>1360451</v>
      </c>
      <c r="G29" s="44">
        <f>IFERROR(__xludf.DUMMYFUNCTION("""COMPUTED_VALUE"""),4107788.0)</f>
        <v>4107788</v>
      </c>
      <c r="H29" s="24"/>
      <c r="I29" s="44">
        <f>IFERROR(__xludf.DUMMYFUNCTION("""COMPUTED_VALUE"""),3393483.0)</f>
        <v>3393483</v>
      </c>
      <c r="J29" s="44">
        <f>IFERROR(__xludf.DUMMYFUNCTION("""COMPUTED_VALUE"""),5161147.0)</f>
        <v>5161147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IFERROR(__xludf.DUMMYFUNCTION("""COMPUTED_VALUE"""),2.9895331E7)</f>
        <v>29895331</v>
      </c>
      <c r="P29" s="45">
        <f>IFERROR(__xludf.DUMMYFUNCTION("""COMPUTED_VALUE"""),0.4100088983083449)</f>
        <v>0.4100088983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>
        <f>IFERROR(__xludf.DUMMYFUNCTION("""COMPUTED_VALUE"""),1712590.0)</f>
        <v>1712590</v>
      </c>
      <c r="C35" s="65">
        <f>IFERROR(__xludf.DUMMYFUNCTION("""COMPUTED_VALUE"""),4958895.0)</f>
        <v>4958895</v>
      </c>
      <c r="D35" s="65">
        <f>IFERROR(__xludf.DUMMYFUNCTION("""COMPUTED_VALUE"""),5981393.0)</f>
        <v>5981393</v>
      </c>
      <c r="E35" s="65">
        <f>IFERROR(__xludf.DUMMYFUNCTION("""COMPUTED_VALUE"""),3219584.0)</f>
        <v>3219584</v>
      </c>
      <c r="F35" s="65">
        <f>IFERROR(__xludf.DUMMYFUNCTION("""COMPUTED_VALUE"""),1360451.0)</f>
        <v>1360451</v>
      </c>
      <c r="G35" s="65">
        <f>IFERROR(__xludf.DUMMYFUNCTION("""COMPUTED_VALUE"""),4107788.0)</f>
        <v>4107788</v>
      </c>
      <c r="H35" s="24"/>
      <c r="I35" s="65">
        <f>IFERROR(__xludf.DUMMYFUNCTION("""COMPUTED_VALUE"""),3393483.0)</f>
        <v>3393483</v>
      </c>
      <c r="J35" s="65">
        <f>IFERROR(__xludf.DUMMYFUNCTION("""COMPUTED_VALUE"""),5161147.0)</f>
        <v>5161147</v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IFERROR(__xludf.DUMMYFUNCTION("""COMPUTED_VALUE"""),2.9895331E7)</f>
        <v>29895331</v>
      </c>
      <c r="P35" s="47">
        <f>IFERROR(__xludf.DUMMYFUNCTION("""COMPUTED_VALUE"""),1.0)</f>
        <v>1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IFERROR(__xludf.DUMMYFUNCTION("""COMPUTED_VALUE"""),0.32527046836106105)</f>
        <v>0.3252704684</v>
      </c>
      <c r="C42" s="49">
        <f>IFERROR(__xludf.DUMMYFUNCTION("""COMPUTED_VALUE"""),0.3372970486801571)</f>
        <v>0.3372970487</v>
      </c>
      <c r="D42" s="49">
        <f>IFERROR(__xludf.DUMMYFUNCTION("""COMPUTED_VALUE"""),0.45385571037941014)</f>
        <v>0.4538557104</v>
      </c>
      <c r="E42" s="49">
        <f>IFERROR(__xludf.DUMMYFUNCTION("""COMPUTED_VALUE"""),0.44514755506370995)</f>
        <v>0.4451475551</v>
      </c>
      <c r="F42" s="49">
        <f>IFERROR(__xludf.DUMMYFUNCTION("""COMPUTED_VALUE"""),0.3804935826977561)</f>
        <v>0.3804935827</v>
      </c>
      <c r="G42" s="49">
        <f>IFERROR(__xludf.DUMMYFUNCTION("""COMPUTED_VALUE"""),0.4117689395921433)</f>
        <v>0.4117689396</v>
      </c>
      <c r="H42" s="16"/>
      <c r="I42" s="49">
        <f>IFERROR(__xludf.DUMMYFUNCTION("""COMPUTED_VALUE"""),0.4105105005204745)</f>
        <v>0.4105105005</v>
      </c>
      <c r="J42" s="49">
        <f>IFERROR(__xludf.DUMMYFUNCTION("""COMPUTED_VALUE"""),0.4815739976482764)</f>
        <v>0.4815739976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IFERROR(__xludf.DUMMYFUNCTION("""COMPUTED_VALUE"""),0.4100088983083449)</f>
        <v>0.4100088983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IFERROR(__xludf.DUMMYFUNCTION("""COMPUTED_VALUE"""),1904293.8181818181)</f>
        <v>1904293.818</v>
      </c>
      <c r="C44" s="44">
        <f>IFERROR(__xludf.DUMMYFUNCTION("""COMPUTED_VALUE"""),1629420.2727272727)</f>
        <v>1629420.273</v>
      </c>
      <c r="D44" s="44">
        <f>IFERROR(__xludf.DUMMYFUNCTION("""COMPUTED_VALUE"""),2613470.1818181816)</f>
        <v>2613470.182</v>
      </c>
      <c r="E44" s="44">
        <f>IFERROR(__xludf.DUMMYFUNCTION("""COMPUTED_VALUE"""),1884889.6363636365)</f>
        <v>1884889.636</v>
      </c>
      <c r="F44" s="44">
        <f>IFERROR(__xludf.DUMMYFUNCTION("""COMPUTED_VALUE"""),1266549.4545454546)</f>
        <v>1266549.455</v>
      </c>
      <c r="G44" s="44">
        <f>IFERROR(__xludf.DUMMYFUNCTION("""COMPUTED_VALUE"""),1466669.5454545454)</f>
        <v>1466669.545</v>
      </c>
      <c r="H44" s="16"/>
      <c r="I44" s="44">
        <f>IFERROR(__xludf.DUMMYFUNCTION("""COMPUTED_VALUE"""),1745466.0)</f>
        <v>1745466</v>
      </c>
      <c r="J44" s="44">
        <f>IFERROR(__xludf.DUMMYFUNCTION("""COMPUTED_VALUE"""),2113357.909090909)</f>
        <v>2113357.909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IFERROR(__xludf.DUMMYFUNCTION("""COMPUTED_VALUE"""),1.4624116818181816E7)</f>
        <v>14624116.82</v>
      </c>
      <c r="P44" s="45">
        <f>IFERROR(__xludf.DUMMYFUNCTION("""COMPUTED_VALUE"""),0.20056703922613417)</f>
        <v>0.2005670392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IFERROR(__xludf.DUMMYFUNCTION("""COMPUTED_VALUE"""),15235.0)</f>
        <v>15235</v>
      </c>
      <c r="C45" s="46">
        <f>IFERROR(__xludf.DUMMYFUNCTION("""COMPUTED_VALUE"""),2751.0)</f>
        <v>2751</v>
      </c>
      <c r="D45" s="46">
        <f>IFERROR(__xludf.DUMMYFUNCTION("""COMPUTED_VALUE"""),18361.0)</f>
        <v>18361</v>
      </c>
      <c r="E45" s="46">
        <f>IFERROR(__xludf.DUMMYFUNCTION("""COMPUTED_VALUE"""),3795.0)</f>
        <v>3795</v>
      </c>
      <c r="F45" s="46">
        <f>IFERROR(__xludf.DUMMYFUNCTION("""COMPUTED_VALUE"""),6355.0)</f>
        <v>6355</v>
      </c>
      <c r="G45" s="46">
        <f>IFERROR(__xludf.DUMMYFUNCTION("""COMPUTED_VALUE"""),3711.0)</f>
        <v>3711</v>
      </c>
      <c r="H45" s="46">
        <f>IFERROR(__xludf.DUMMYFUNCTION("""COMPUTED_VALUE"""),0.0)</f>
        <v>0</v>
      </c>
      <c r="I45" s="46">
        <f>IFERROR(__xludf.DUMMYFUNCTION("""COMPUTED_VALUE"""),4122.0)</f>
        <v>4122</v>
      </c>
      <c r="J45" s="46">
        <f>IFERROR(__xludf.DUMMYFUNCTION("""COMPUTED_VALUE"""),3828.0)</f>
        <v>3828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IFERROR(__xludf.DUMMYFUNCTION("""COMPUTED_VALUE"""),58158.0)</f>
        <v>58158</v>
      </c>
      <c r="P45" s="47">
        <f>IFERROR(__xludf.DUMMYFUNCTION("""COMPUTED_VALUE"""),0.003976855540957765)</f>
        <v>0.003976855541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IFERROR(__xludf.DUMMYFUNCTION("""COMPUTED_VALUE"""),2181.0)</f>
        <v>2181</v>
      </c>
      <c r="C46" s="68">
        <f>IFERROR(__xludf.DUMMYFUNCTION("""COMPUTED_VALUE"""),2181.0)</f>
        <v>2181</v>
      </c>
      <c r="D46" s="68">
        <f>IFERROR(__xludf.DUMMYFUNCTION("""COMPUTED_VALUE"""),6848.0)</f>
        <v>6848</v>
      </c>
      <c r="E46" s="68">
        <f>IFERROR(__xludf.DUMMYFUNCTION("""COMPUTED_VALUE"""),3281.0)</f>
        <v>3281</v>
      </c>
      <c r="F46" s="68">
        <f>IFERROR(__xludf.DUMMYFUNCTION("""COMPUTED_VALUE"""),6009.0)</f>
        <v>6009</v>
      </c>
      <c r="G46" s="68">
        <f>IFERROR(__xludf.DUMMYFUNCTION("""COMPUTED_VALUE"""),3281.0)</f>
        <v>3281</v>
      </c>
      <c r="H46" s="69"/>
      <c r="I46" s="68">
        <f>IFERROR(__xludf.DUMMYFUNCTION("""COMPUTED_VALUE"""),3346.0)</f>
        <v>3346</v>
      </c>
      <c r="J46" s="68">
        <f>IFERROR(__xludf.DUMMYFUNCTION("""COMPUTED_VALUE"""),3324.0)</f>
        <v>3324</v>
      </c>
      <c r="K46" s="68"/>
      <c r="L46" s="68"/>
      <c r="M46" s="68"/>
      <c r="N46" s="68"/>
      <c r="O46" s="52">
        <f>IFERROR(__xludf.DUMMYFUNCTION("""COMPUTED_VALUE"""),30451.0)</f>
        <v>30451</v>
      </c>
      <c r="P46" s="53">
        <f>IFERROR(__xludf.DUMMYFUNCTION("""COMPUTED_VALUE"""),0.5235909075277692)</f>
        <v>0.5235909075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IFERROR(__xludf.DUMMYFUNCTION("""COMPUTED_VALUE"""),514.0)</f>
        <v>514</v>
      </c>
      <c r="C47" s="68">
        <f>IFERROR(__xludf.DUMMYFUNCTION("""COMPUTED_VALUE"""),570.0)</f>
        <v>570</v>
      </c>
      <c r="D47" s="68">
        <f>IFERROR(__xludf.DUMMYFUNCTION("""COMPUTED_VALUE"""),458.0)</f>
        <v>458</v>
      </c>
      <c r="E47" s="68">
        <f>IFERROR(__xludf.DUMMYFUNCTION("""COMPUTED_VALUE"""),514.0)</f>
        <v>514</v>
      </c>
      <c r="F47" s="68">
        <f>IFERROR(__xludf.DUMMYFUNCTION("""COMPUTED_VALUE"""),346.0)</f>
        <v>346</v>
      </c>
      <c r="G47" s="68">
        <f>IFERROR(__xludf.DUMMYFUNCTION("""COMPUTED_VALUE"""),430.0)</f>
        <v>430</v>
      </c>
      <c r="H47" s="69"/>
      <c r="I47" s="68">
        <f>IFERROR(__xludf.DUMMYFUNCTION("""COMPUTED_VALUE"""),776.0)</f>
        <v>776</v>
      </c>
      <c r="J47" s="68">
        <f>IFERROR(__xludf.DUMMYFUNCTION("""COMPUTED_VALUE"""),504.0)</f>
        <v>504</v>
      </c>
      <c r="K47" s="68"/>
      <c r="L47" s="68"/>
      <c r="M47" s="68"/>
      <c r="N47" s="68"/>
      <c r="O47" s="52">
        <f>IFERROR(__xludf.DUMMYFUNCTION("""COMPUTED_VALUE"""),4112.0)</f>
        <v>4112</v>
      </c>
      <c r="P47" s="53">
        <f>IFERROR(__xludf.DUMMYFUNCTION("""COMPUTED_VALUE"""),0.0707039444272499)</f>
        <v>0.07070394443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IFERROR(__xludf.DUMMYFUNCTION("""COMPUTED_VALUE"""),12540.0)</f>
        <v>12540</v>
      </c>
      <c r="C48" s="68"/>
      <c r="D48" s="68">
        <f>IFERROR(__xludf.DUMMYFUNCTION("""COMPUTED_VALUE"""),11055.0)</f>
        <v>11055</v>
      </c>
      <c r="E48" s="68">
        <f>IFERROR(__xludf.DUMMYFUNCTION("""COMPUTED_VALUE"""),0.0)</f>
        <v>0</v>
      </c>
      <c r="F48" s="68">
        <f>IFERROR(__xludf.DUMMYFUNCTION("""COMPUTED_VALUE"""),0.0)</f>
        <v>0</v>
      </c>
      <c r="G48" s="68">
        <f>IFERROR(__xludf.DUMMYFUNCTION("""COMPUTED_VALUE"""),0.0)</f>
        <v>0</v>
      </c>
      <c r="H48" s="69"/>
      <c r="I48" s="68">
        <f>IFERROR(__xludf.DUMMYFUNCTION("""COMPUTED_VALUE"""),0.0)</f>
        <v>0</v>
      </c>
      <c r="J48" s="68">
        <f>IFERROR(__xludf.DUMMYFUNCTION("""COMPUTED_VALUE"""),0.0)</f>
        <v>0</v>
      </c>
      <c r="K48" s="68"/>
      <c r="L48" s="68"/>
      <c r="M48" s="68"/>
      <c r="N48" s="68"/>
      <c r="O48" s="52">
        <f>IFERROR(__xludf.DUMMYFUNCTION("""COMPUTED_VALUE"""),23595.0)</f>
        <v>23595</v>
      </c>
      <c r="P48" s="53">
        <f>IFERROR(__xludf.DUMMYFUNCTION("""COMPUTED_VALUE"""),0.4057051480449809)</f>
        <v>0.405705148</v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68"/>
      <c r="D49" s="68"/>
      <c r="E49" s="68">
        <f>IFERROR(__xludf.DUMMYFUNCTION("""COMPUTED_VALUE"""),0.0)</f>
        <v>0</v>
      </c>
      <c r="F49" s="68">
        <f>IFERROR(__xludf.DUMMYFUNCTION("""COMPUTED_VALUE"""),0.0)</f>
        <v>0</v>
      </c>
      <c r="G49" s="68">
        <f>IFERROR(__xludf.DUMMYFUNCTION("""COMPUTED_VALUE"""),0.0)</f>
        <v>0</v>
      </c>
      <c r="H49" s="69"/>
      <c r="I49" s="68">
        <f>IFERROR(__xludf.DUMMYFUNCTION("""COMPUTED_VALUE"""),0.0)</f>
        <v>0</v>
      </c>
      <c r="J49" s="68">
        <f>IFERROR(__xludf.DUMMYFUNCTION("""COMPUTED_VALUE"""),0.0)</f>
        <v>0</v>
      </c>
      <c r="K49" s="68"/>
      <c r="L49" s="68"/>
      <c r="M49" s="68"/>
      <c r="N49" s="68"/>
      <c r="O49" s="52">
        <f>IFERROR(__xludf.DUMMYFUNCTION("""COMPUTED_VALUE"""),0.0)</f>
        <v>0</v>
      </c>
      <c r="P49" s="53">
        <f>IFERROR(__xludf.DUMMYFUNCTION("""COMPUTED_VALUE"""),0.0)</f>
        <v>0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62"/>
      <c r="D50" s="62"/>
      <c r="E50" s="62">
        <f>IFERROR(__xludf.DUMMYFUNCTION("""COMPUTED_VALUE"""),0.0)</f>
        <v>0</v>
      </c>
      <c r="F50" s="62">
        <f>IFERROR(__xludf.DUMMYFUNCTION("""COMPUTED_VALUE"""),0.0)</f>
        <v>0</v>
      </c>
      <c r="G50" s="62">
        <f>IFERROR(__xludf.DUMMYFUNCTION("""COMPUTED_VALUE"""),0.0)</f>
        <v>0</v>
      </c>
      <c r="H50" s="24"/>
      <c r="I50" s="62">
        <f>IFERROR(__xludf.DUMMYFUNCTION("""COMPUTED_VALUE"""),0.0)</f>
        <v>0</v>
      </c>
      <c r="J50" s="62">
        <f>IFERROR(__xludf.DUMMYFUNCTION("""COMPUTED_VALUE"""),0.0)</f>
        <v>0</v>
      </c>
      <c r="K50" s="62"/>
      <c r="L50" s="62"/>
      <c r="M50" s="62"/>
      <c r="N50" s="62"/>
      <c r="O50" s="46">
        <f>IFERROR(__xludf.DUMMYFUNCTION("""COMPUTED_VALUE"""),0.0)</f>
        <v>0</v>
      </c>
      <c r="P50" s="47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IFERROR(__xludf.DUMMYFUNCTION("""COMPUTED_VALUE"""),14392.0)</f>
        <v>14392</v>
      </c>
      <c r="C51" s="62">
        <f>IFERROR(__xludf.DUMMYFUNCTION("""COMPUTED_VALUE"""),13068.0)</f>
        <v>13068</v>
      </c>
      <c r="D51" s="62">
        <f>IFERROR(__xludf.DUMMYFUNCTION("""COMPUTED_VALUE"""),28822.0)</f>
        <v>28822</v>
      </c>
      <c r="E51" s="62">
        <f>IFERROR(__xludf.DUMMYFUNCTION("""COMPUTED_VALUE"""),17189.0)</f>
        <v>17189</v>
      </c>
      <c r="F51" s="62">
        <f>IFERROR(__xludf.DUMMYFUNCTION("""COMPUTED_VALUE"""),336.0)</f>
        <v>336</v>
      </c>
      <c r="G51" s="62">
        <f>IFERROR(__xludf.DUMMYFUNCTION("""COMPUTED_VALUE"""),9233.0)</f>
        <v>9233</v>
      </c>
      <c r="H51" s="24"/>
      <c r="I51" s="62">
        <f>IFERROR(__xludf.DUMMYFUNCTION("""COMPUTED_VALUE"""),0.0)</f>
        <v>0</v>
      </c>
      <c r="J51" s="62">
        <f>IFERROR(__xludf.DUMMYFUNCTION("""COMPUTED_VALUE"""),4234.0)</f>
        <v>4234</v>
      </c>
      <c r="K51" s="62"/>
      <c r="L51" s="62"/>
      <c r="M51" s="62"/>
      <c r="N51" s="62"/>
      <c r="O51" s="46">
        <f>IFERROR(__xludf.DUMMYFUNCTION("""COMPUTED_VALUE"""),87274.0)</f>
        <v>87274</v>
      </c>
      <c r="P51" s="47">
        <f>IFERROR(__xludf.DUMMYFUNCTION("""COMPUTED_VALUE"""),0.0059678133787535335)</f>
        <v>0.005967813379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IFERROR(__xludf.DUMMYFUNCTION("""COMPUTED_VALUE"""),0.0)</f>
        <v>0</v>
      </c>
      <c r="C52" s="46">
        <f>IFERROR(__xludf.DUMMYFUNCTION("""COMPUTED_VALUE"""),66726.0)</f>
        <v>66726</v>
      </c>
      <c r="D52" s="46">
        <f>IFERROR(__xludf.DUMMYFUNCTION("""COMPUTED_VALUE"""),17600.0)</f>
        <v>17600</v>
      </c>
      <c r="E52" s="46">
        <f>IFERROR(__xludf.DUMMYFUNCTION("""COMPUTED_VALUE"""),0.0)</f>
        <v>0</v>
      </c>
      <c r="F52" s="46">
        <f>IFERROR(__xludf.DUMMYFUNCTION("""COMPUTED_VALUE"""),0.0)</f>
        <v>0</v>
      </c>
      <c r="G52" s="46">
        <f>IFERROR(__xludf.DUMMYFUNCTION("""COMPUTED_VALUE"""),0.0)</f>
        <v>0</v>
      </c>
      <c r="H52" s="46">
        <f>IFERROR(__xludf.DUMMYFUNCTION("""COMPUTED_VALUE"""),0.0)</f>
        <v>0</v>
      </c>
      <c r="I52" s="46">
        <f>IFERROR(__xludf.DUMMYFUNCTION("""COMPUTED_VALUE"""),33000.0)</f>
        <v>33000</v>
      </c>
      <c r="J52" s="46">
        <f>IFERROR(__xludf.DUMMYFUNCTION("""COMPUTED_VALUE"""),0.0)</f>
        <v>0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IFERROR(__xludf.DUMMYFUNCTION("""COMPUTED_VALUE"""),117326.0)</f>
        <v>117326</v>
      </c>
      <c r="P52" s="47">
        <f>IFERROR(__xludf.DUMMYFUNCTION("""COMPUTED_VALUE"""),0.008022775081646734)</f>
        <v>0.008022775082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68"/>
      <c r="D53" s="68"/>
      <c r="E53" s="68">
        <f>IFERROR(__xludf.DUMMYFUNCTION("""COMPUTED_VALUE"""),0.0)</f>
        <v>0</v>
      </c>
      <c r="F53" s="68">
        <f>IFERROR(__xludf.DUMMYFUNCTION("""COMPUTED_VALUE"""),0.0)</f>
        <v>0</v>
      </c>
      <c r="G53" s="68">
        <f>IFERROR(__xludf.DUMMYFUNCTION("""COMPUTED_VALUE"""),0.0)</f>
        <v>0</v>
      </c>
      <c r="H53" s="69"/>
      <c r="I53" s="68">
        <f>IFERROR(__xludf.DUMMYFUNCTION("""COMPUTED_VALUE"""),0.0)</f>
        <v>0</v>
      </c>
      <c r="J53" s="68">
        <f>IFERROR(__xludf.DUMMYFUNCTION("""COMPUTED_VALUE"""),0.0)</f>
        <v>0</v>
      </c>
      <c r="K53" s="68"/>
      <c r="L53" s="68"/>
      <c r="M53" s="68"/>
      <c r="N53" s="68"/>
      <c r="O53" s="52">
        <f>IFERROR(__xludf.DUMMYFUNCTION("""COMPUTED_VALUE"""),0.0)</f>
        <v>0</v>
      </c>
      <c r="P53" s="53">
        <f>IFERROR(__xludf.DUMMYFUNCTION("""COMPUTED_VALUE"""),0.0)</f>
        <v>0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68"/>
      <c r="D54" s="68"/>
      <c r="E54" s="68">
        <f>IFERROR(__xludf.DUMMYFUNCTION("""COMPUTED_VALUE"""),0.0)</f>
        <v>0</v>
      </c>
      <c r="F54" s="68">
        <f>IFERROR(__xludf.DUMMYFUNCTION("""COMPUTED_VALUE"""),0.0)</f>
        <v>0</v>
      </c>
      <c r="G54" s="68">
        <f>IFERROR(__xludf.DUMMYFUNCTION("""COMPUTED_VALUE"""),0.0)</f>
        <v>0</v>
      </c>
      <c r="H54" s="69"/>
      <c r="I54" s="68">
        <f>IFERROR(__xludf.DUMMYFUNCTION("""COMPUTED_VALUE"""),0.0)</f>
        <v>0</v>
      </c>
      <c r="J54" s="68">
        <f>IFERROR(__xludf.DUMMYFUNCTION("""COMPUTED_VALUE"""),0.0)</f>
        <v>0</v>
      </c>
      <c r="K54" s="68"/>
      <c r="L54" s="68"/>
      <c r="M54" s="68"/>
      <c r="N54" s="68"/>
      <c r="O54" s="52">
        <f>IFERROR(__xludf.DUMMYFUNCTION("""COMPUTED_VALUE"""),0.0)</f>
        <v>0</v>
      </c>
      <c r="P54" s="53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68"/>
      <c r="D55" s="68"/>
      <c r="E55" s="68">
        <f>IFERROR(__xludf.DUMMYFUNCTION("""COMPUTED_VALUE"""),0.0)</f>
        <v>0</v>
      </c>
      <c r="F55" s="68">
        <f>IFERROR(__xludf.DUMMYFUNCTION("""COMPUTED_VALUE"""),0.0)</f>
        <v>0</v>
      </c>
      <c r="G55" s="68">
        <f>IFERROR(__xludf.DUMMYFUNCTION("""COMPUTED_VALUE"""),0.0)</f>
        <v>0</v>
      </c>
      <c r="H55" s="69"/>
      <c r="I55" s="68">
        <f>IFERROR(__xludf.DUMMYFUNCTION("""COMPUTED_VALUE"""),0.0)</f>
        <v>0</v>
      </c>
      <c r="J55" s="68">
        <f>IFERROR(__xludf.DUMMYFUNCTION("""COMPUTED_VALUE"""),0.0)</f>
        <v>0</v>
      </c>
      <c r="K55" s="68"/>
      <c r="L55" s="68"/>
      <c r="M55" s="68"/>
      <c r="N55" s="68"/>
      <c r="O55" s="52">
        <f>IFERROR(__xludf.DUMMYFUNCTION("""COMPUTED_VALUE"""),0.0)</f>
        <v>0</v>
      </c>
      <c r="P55" s="53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68"/>
      <c r="D56" s="68"/>
      <c r="E56" s="68">
        <f>IFERROR(__xludf.DUMMYFUNCTION("""COMPUTED_VALUE"""),0.0)</f>
        <v>0</v>
      </c>
      <c r="F56" s="68">
        <f>IFERROR(__xludf.DUMMYFUNCTION("""COMPUTED_VALUE"""),0.0)</f>
        <v>0</v>
      </c>
      <c r="G56" s="68">
        <f>IFERROR(__xludf.DUMMYFUNCTION("""COMPUTED_VALUE"""),0.0)</f>
        <v>0</v>
      </c>
      <c r="H56" s="69"/>
      <c r="I56" s="68">
        <f>IFERROR(__xludf.DUMMYFUNCTION("""COMPUTED_VALUE"""),33000.0)</f>
        <v>33000</v>
      </c>
      <c r="J56" s="68">
        <f>IFERROR(__xludf.DUMMYFUNCTION("""COMPUTED_VALUE"""),0.0)</f>
        <v>0</v>
      </c>
      <c r="K56" s="68"/>
      <c r="L56" s="68"/>
      <c r="M56" s="68"/>
      <c r="N56" s="68"/>
      <c r="O56" s="52">
        <f>IFERROR(__xludf.DUMMYFUNCTION("""COMPUTED_VALUE"""),33000.0)</f>
        <v>33000</v>
      </c>
      <c r="P56" s="53">
        <f>IFERROR(__xludf.DUMMYFUNCTION("""COMPUTED_VALUE"""),0.2812675792237015)</f>
        <v>0.2812675792</v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68">
        <f>IFERROR(__xludf.DUMMYFUNCTION("""COMPUTED_VALUE"""),66726.0)</f>
        <v>66726</v>
      </c>
      <c r="D57" s="68"/>
      <c r="E57" s="68">
        <f>IFERROR(__xludf.DUMMYFUNCTION("""COMPUTED_VALUE"""),0.0)</f>
        <v>0</v>
      </c>
      <c r="F57" s="68">
        <f>IFERROR(__xludf.DUMMYFUNCTION("""COMPUTED_VALUE"""),0.0)</f>
        <v>0</v>
      </c>
      <c r="G57" s="68">
        <f>IFERROR(__xludf.DUMMYFUNCTION("""COMPUTED_VALUE"""),0.0)</f>
        <v>0</v>
      </c>
      <c r="H57" s="69"/>
      <c r="I57" s="68">
        <f>IFERROR(__xludf.DUMMYFUNCTION("""COMPUTED_VALUE"""),0.0)</f>
        <v>0</v>
      </c>
      <c r="J57" s="68">
        <f>IFERROR(__xludf.DUMMYFUNCTION("""COMPUTED_VALUE"""),0.0)</f>
        <v>0</v>
      </c>
      <c r="K57" s="68"/>
      <c r="L57" s="68"/>
      <c r="M57" s="68"/>
      <c r="N57" s="68"/>
      <c r="O57" s="52">
        <f>IFERROR(__xludf.DUMMYFUNCTION("""COMPUTED_VALUE"""),66726.0)</f>
        <v>66726</v>
      </c>
      <c r="P57" s="53">
        <f>IFERROR(__xludf.DUMMYFUNCTION("""COMPUTED_VALUE"""),0.5687230451903243)</f>
        <v>0.5687230452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68"/>
      <c r="D58" s="68"/>
      <c r="E58" s="68">
        <f>IFERROR(__xludf.DUMMYFUNCTION("""COMPUTED_VALUE"""),0.0)</f>
        <v>0</v>
      </c>
      <c r="F58" s="68">
        <f>IFERROR(__xludf.DUMMYFUNCTION("""COMPUTED_VALUE"""),0.0)</f>
        <v>0</v>
      </c>
      <c r="G58" s="68">
        <f>IFERROR(__xludf.DUMMYFUNCTION("""COMPUTED_VALUE"""),0.0)</f>
        <v>0</v>
      </c>
      <c r="H58" s="69"/>
      <c r="I58" s="68">
        <f>IFERROR(__xludf.DUMMYFUNCTION("""COMPUTED_VALUE"""),0.0)</f>
        <v>0</v>
      </c>
      <c r="J58" s="68">
        <f>IFERROR(__xludf.DUMMYFUNCTION("""COMPUTED_VALUE"""),0.0)</f>
        <v>0</v>
      </c>
      <c r="K58" s="68"/>
      <c r="L58" s="68"/>
      <c r="M58" s="68"/>
      <c r="N58" s="68"/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70"/>
      <c r="C59" s="68"/>
      <c r="D59" s="68"/>
      <c r="E59" s="68">
        <f>IFERROR(__xludf.DUMMYFUNCTION("""COMPUTED_VALUE"""),0.0)</f>
        <v>0</v>
      </c>
      <c r="F59" s="68">
        <f>IFERROR(__xludf.DUMMYFUNCTION("""COMPUTED_VALUE"""),0.0)</f>
        <v>0</v>
      </c>
      <c r="G59" s="68">
        <f>IFERROR(__xludf.DUMMYFUNCTION("""COMPUTED_VALUE"""),0.0)</f>
        <v>0</v>
      </c>
      <c r="H59" s="69"/>
      <c r="I59" s="68">
        <f>IFERROR(__xludf.DUMMYFUNCTION("""COMPUTED_VALUE"""),0.0)</f>
        <v>0</v>
      </c>
      <c r="J59" s="68">
        <f>IFERROR(__xludf.DUMMYFUNCTION("""COMPUTED_VALUE"""),0.0)</f>
        <v>0</v>
      </c>
      <c r="K59" s="68"/>
      <c r="L59" s="68"/>
      <c r="M59" s="68"/>
      <c r="N59" s="68"/>
      <c r="O59" s="52">
        <f>IFERROR(__xludf.DUMMYFUNCTION("""COMPUTED_VALUE"""),0.0)</f>
        <v>0</v>
      </c>
      <c r="P59" s="53">
        <f>IFERROR(__xludf.DUMMYFUNCTION("""COMPUTED_VALUE"""),0.0)</f>
        <v>0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68"/>
      <c r="D60" s="68">
        <f>IFERROR(__xludf.DUMMYFUNCTION("""COMPUTED_VALUE"""),17600.0)</f>
        <v>17600</v>
      </c>
      <c r="E60" s="68">
        <f>IFERROR(__xludf.DUMMYFUNCTION("""COMPUTED_VALUE"""),0.0)</f>
        <v>0</v>
      </c>
      <c r="F60" s="68">
        <f>IFERROR(__xludf.DUMMYFUNCTION("""COMPUTED_VALUE"""),0.0)</f>
        <v>0</v>
      </c>
      <c r="G60" s="68">
        <f>IFERROR(__xludf.DUMMYFUNCTION("""COMPUTED_VALUE"""),0.0)</f>
        <v>0</v>
      </c>
      <c r="H60" s="69"/>
      <c r="I60" s="68">
        <f>IFERROR(__xludf.DUMMYFUNCTION("""COMPUTED_VALUE"""),0.0)</f>
        <v>0</v>
      </c>
      <c r="J60" s="68">
        <f>IFERROR(__xludf.DUMMYFUNCTION("""COMPUTED_VALUE"""),0.0)</f>
        <v>0</v>
      </c>
      <c r="K60" s="68"/>
      <c r="L60" s="68"/>
      <c r="M60" s="68"/>
      <c r="N60" s="68"/>
      <c r="O60" s="52">
        <f>IFERROR(__xludf.DUMMYFUNCTION("""COMPUTED_VALUE"""),17600.0)</f>
        <v>17600</v>
      </c>
      <c r="P60" s="53">
        <f>IFERROR(__xludf.DUMMYFUNCTION("""COMPUTED_VALUE"""),0.15000937558597413)</f>
        <v>0.1500093756</v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62"/>
      <c r="D61" s="62"/>
      <c r="E61" s="62">
        <f>IFERROR(__xludf.DUMMYFUNCTION("""COMPUTED_VALUE"""),0.0)</f>
        <v>0</v>
      </c>
      <c r="F61" s="62">
        <f>IFERROR(__xludf.DUMMYFUNCTION("""COMPUTED_VALUE"""),0.0)</f>
        <v>0</v>
      </c>
      <c r="G61" s="62">
        <f>IFERROR(__xludf.DUMMYFUNCTION("""COMPUTED_VALUE"""),0.0)</f>
        <v>0</v>
      </c>
      <c r="H61" s="24"/>
      <c r="I61" s="62">
        <f>IFERROR(__xludf.DUMMYFUNCTION("""COMPUTED_VALUE"""),0.0)</f>
        <v>0</v>
      </c>
      <c r="J61" s="62">
        <f>IFERROR(__xludf.DUMMYFUNCTION("""COMPUTED_VALUE"""),0.0)</f>
        <v>0</v>
      </c>
      <c r="K61" s="62"/>
      <c r="L61" s="62"/>
      <c r="M61" s="62"/>
      <c r="N61" s="62"/>
      <c r="O61" s="46">
        <f>IFERROR(__xludf.DUMMYFUNCTION("""COMPUTED_VALUE"""),0.0)</f>
        <v>0</v>
      </c>
      <c r="P61" s="47">
        <f>IFERROR(__xludf.DUMMYFUNCTION("""COMPUTED_VALUE"""),0.0)</f>
        <v>0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62"/>
      <c r="D62" s="62"/>
      <c r="E62" s="62">
        <f>IFERROR(__xludf.DUMMYFUNCTION("""COMPUTED_VALUE"""),0.0)</f>
        <v>0</v>
      </c>
      <c r="F62" s="62">
        <f>IFERROR(__xludf.DUMMYFUNCTION("""COMPUTED_VALUE"""),0.0)</f>
        <v>0</v>
      </c>
      <c r="G62" s="62">
        <f>IFERROR(__xludf.DUMMYFUNCTION("""COMPUTED_VALUE"""),0.0)</f>
        <v>0</v>
      </c>
      <c r="H62" s="24"/>
      <c r="I62" s="62">
        <f>IFERROR(__xludf.DUMMYFUNCTION("""COMPUTED_VALUE"""),0.0)</f>
        <v>0</v>
      </c>
      <c r="J62" s="62">
        <f>IFERROR(__xludf.DUMMYFUNCTION("""COMPUTED_VALUE"""),0.0)</f>
        <v>0</v>
      </c>
      <c r="K62" s="62"/>
      <c r="L62" s="62"/>
      <c r="M62" s="62"/>
      <c r="N62" s="62"/>
      <c r="O62" s="46">
        <f>IFERROR(__xludf.DUMMYFUNCTION("""COMPUTED_VALUE"""),0.0)</f>
        <v>0</v>
      </c>
      <c r="P62" s="47">
        <f>IFERROR(__xludf.DUMMYFUNCTION("""COMPUTED_VALUE"""),0.0)</f>
        <v>0</v>
      </c>
      <c r="Q62" s="16"/>
    </row>
    <row r="63" ht="15.75" customHeight="1">
      <c r="A63" s="48" t="str">
        <f>IFERROR(__xludf.DUMMYFUNCTION("""COMPUTED_VALUE"""),"会議費")</f>
        <v>会議費</v>
      </c>
      <c r="B63" s="70"/>
      <c r="C63" s="62"/>
      <c r="D63" s="62">
        <f>IFERROR(__xludf.DUMMYFUNCTION("""COMPUTED_VALUE"""),1215.0)</f>
        <v>1215</v>
      </c>
      <c r="E63" s="62">
        <f>IFERROR(__xludf.DUMMYFUNCTION("""COMPUTED_VALUE"""),1815.0)</f>
        <v>1815</v>
      </c>
      <c r="F63" s="62">
        <f>IFERROR(__xludf.DUMMYFUNCTION("""COMPUTED_VALUE"""),0.0)</f>
        <v>0</v>
      </c>
      <c r="G63" s="62">
        <f>IFERROR(__xludf.DUMMYFUNCTION("""COMPUTED_VALUE"""),0.0)</f>
        <v>0</v>
      </c>
      <c r="H63" s="24"/>
      <c r="I63" s="62">
        <f>IFERROR(__xludf.DUMMYFUNCTION("""COMPUTED_VALUE"""),0.0)</f>
        <v>0</v>
      </c>
      <c r="J63" s="62">
        <f>IFERROR(__xludf.DUMMYFUNCTION("""COMPUTED_VALUE"""),0.0)</f>
        <v>0</v>
      </c>
      <c r="K63" s="62"/>
      <c r="L63" s="62"/>
      <c r="M63" s="62"/>
      <c r="N63" s="62"/>
      <c r="O63" s="46">
        <f>IFERROR(__xludf.DUMMYFUNCTION("""COMPUTED_VALUE"""),3030.0)</f>
        <v>3030</v>
      </c>
      <c r="P63" s="47">
        <f>IFERROR(__xludf.DUMMYFUNCTION("""COMPUTED_VALUE"""),2.07191999193611E-4)</f>
        <v>0.0002071919992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62"/>
      <c r="D64" s="62"/>
      <c r="E64" s="62">
        <f>IFERROR(__xludf.DUMMYFUNCTION("""COMPUTED_VALUE"""),0.0)</f>
        <v>0</v>
      </c>
      <c r="F64" s="62">
        <f>IFERROR(__xludf.DUMMYFUNCTION("""COMPUTED_VALUE"""),0.0)</f>
        <v>0</v>
      </c>
      <c r="G64" s="62">
        <f>IFERROR(__xludf.DUMMYFUNCTION("""COMPUTED_VALUE"""),0.0)</f>
        <v>0</v>
      </c>
      <c r="H64" s="24"/>
      <c r="I64" s="62">
        <f>IFERROR(__xludf.DUMMYFUNCTION("""COMPUTED_VALUE"""),0.0)</f>
        <v>0</v>
      </c>
      <c r="J64" s="62">
        <f>IFERROR(__xludf.DUMMYFUNCTION("""COMPUTED_VALUE"""),0.0)</f>
        <v>0</v>
      </c>
      <c r="K64" s="62"/>
      <c r="L64" s="62"/>
      <c r="M64" s="62"/>
      <c r="N64" s="62"/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70"/>
      <c r="C65" s="62"/>
      <c r="D65" s="62"/>
      <c r="E65" s="62">
        <f>IFERROR(__xludf.DUMMYFUNCTION("""COMPUTED_VALUE"""),0.0)</f>
        <v>0</v>
      </c>
      <c r="F65" s="62">
        <f>IFERROR(__xludf.DUMMYFUNCTION("""COMPUTED_VALUE"""),0.0)</f>
        <v>0</v>
      </c>
      <c r="G65" s="62">
        <f>IFERROR(__xludf.DUMMYFUNCTION("""COMPUTED_VALUE"""),0.0)</f>
        <v>0</v>
      </c>
      <c r="H65" s="24"/>
      <c r="I65" s="62">
        <f>IFERROR(__xludf.DUMMYFUNCTION("""COMPUTED_VALUE"""),0.0)</f>
        <v>0</v>
      </c>
      <c r="J65" s="62">
        <f>IFERROR(__xludf.DUMMYFUNCTION("""COMPUTED_VALUE"""),0.0)</f>
        <v>0</v>
      </c>
      <c r="K65" s="62"/>
      <c r="L65" s="62"/>
      <c r="M65" s="62"/>
      <c r="N65" s="62"/>
      <c r="O65" s="46">
        <f>IFERROR(__xludf.DUMMYFUNCTION("""COMPUTED_VALUE"""),0.0)</f>
        <v>0</v>
      </c>
      <c r="P65" s="47">
        <f>IFERROR(__xludf.DUMMYFUNCTION("""COMPUTED_VALUE"""),0.0)</f>
        <v>0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62"/>
      <c r="D66" s="62"/>
      <c r="E66" s="62">
        <f>IFERROR(__xludf.DUMMYFUNCTION("""COMPUTED_VALUE"""),5120.0)</f>
        <v>5120</v>
      </c>
      <c r="F66" s="62">
        <f>IFERROR(__xludf.DUMMYFUNCTION("""COMPUTED_VALUE"""),0.0)</f>
        <v>0</v>
      </c>
      <c r="G66" s="62">
        <f>IFERROR(__xludf.DUMMYFUNCTION("""COMPUTED_VALUE"""),0.0)</f>
        <v>0</v>
      </c>
      <c r="H66" s="24"/>
      <c r="I66" s="62">
        <f>IFERROR(__xludf.DUMMYFUNCTION("""COMPUTED_VALUE"""),0.0)</f>
        <v>0</v>
      </c>
      <c r="J66" s="62">
        <f>IFERROR(__xludf.DUMMYFUNCTION("""COMPUTED_VALUE"""),0.0)</f>
        <v>0</v>
      </c>
      <c r="K66" s="62"/>
      <c r="L66" s="62"/>
      <c r="M66" s="62"/>
      <c r="N66" s="62"/>
      <c r="O66" s="46">
        <f>IFERROR(__xludf.DUMMYFUNCTION("""COMPUTED_VALUE"""),5120.0)</f>
        <v>5120</v>
      </c>
      <c r="P66" s="47">
        <f>IFERROR(__xludf.DUMMYFUNCTION("""COMPUTED_VALUE"""),3.5010661249877505E-4)</f>
        <v>0.0003501066125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62"/>
      <c r="D67" s="62"/>
      <c r="E67" s="62">
        <f>IFERROR(__xludf.DUMMYFUNCTION("""COMPUTED_VALUE"""),0.0)</f>
        <v>0</v>
      </c>
      <c r="F67" s="62">
        <f>IFERROR(__xludf.DUMMYFUNCTION("""COMPUTED_VALUE"""),0.0)</f>
        <v>0</v>
      </c>
      <c r="G67" s="62">
        <f>IFERROR(__xludf.DUMMYFUNCTION("""COMPUTED_VALUE"""),0.0)</f>
        <v>0</v>
      </c>
      <c r="H67" s="24"/>
      <c r="I67" s="62">
        <f>IFERROR(__xludf.DUMMYFUNCTION("""COMPUTED_VALUE"""),0.0)</f>
        <v>0</v>
      </c>
      <c r="J67" s="62">
        <f>IFERROR(__xludf.DUMMYFUNCTION("""COMPUTED_VALUE"""),0.0)</f>
        <v>0</v>
      </c>
      <c r="K67" s="62"/>
      <c r="L67" s="62"/>
      <c r="M67" s="62"/>
      <c r="N67" s="62"/>
      <c r="O67" s="46">
        <f>IFERROR(__xludf.DUMMYFUNCTION("""COMPUTED_VALUE"""),0.0)</f>
        <v>0</v>
      </c>
      <c r="P67" s="47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62"/>
      <c r="D68" s="62"/>
      <c r="E68" s="62">
        <f>IFERROR(__xludf.DUMMYFUNCTION("""COMPUTED_VALUE"""),0.0)</f>
        <v>0</v>
      </c>
      <c r="F68" s="62">
        <f>IFERROR(__xludf.DUMMYFUNCTION("""COMPUTED_VALUE"""),0.0)</f>
        <v>0</v>
      </c>
      <c r="G68" s="62">
        <f>IFERROR(__xludf.DUMMYFUNCTION("""COMPUTED_VALUE"""),0.0)</f>
        <v>0</v>
      </c>
      <c r="H68" s="24"/>
      <c r="I68" s="62">
        <f>IFERROR(__xludf.DUMMYFUNCTION("""COMPUTED_VALUE"""),0.0)</f>
        <v>0</v>
      </c>
      <c r="J68" s="62">
        <f>IFERROR(__xludf.DUMMYFUNCTION("""COMPUTED_VALUE"""),0.0)</f>
        <v>0</v>
      </c>
      <c r="K68" s="62"/>
      <c r="L68" s="62"/>
      <c r="M68" s="62"/>
      <c r="N68" s="62"/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62"/>
      <c r="D69" s="62"/>
      <c r="E69" s="62">
        <f>IFERROR(__xludf.DUMMYFUNCTION("""COMPUTED_VALUE"""),0.0)</f>
        <v>0</v>
      </c>
      <c r="F69" s="62">
        <f>IFERROR(__xludf.DUMMYFUNCTION("""COMPUTED_VALUE"""),0.0)</f>
        <v>0</v>
      </c>
      <c r="G69" s="62">
        <f>IFERROR(__xludf.DUMMYFUNCTION("""COMPUTED_VALUE"""),0.0)</f>
        <v>0</v>
      </c>
      <c r="H69" s="24"/>
      <c r="I69" s="62">
        <f>IFERROR(__xludf.DUMMYFUNCTION("""COMPUTED_VALUE"""),0.0)</f>
        <v>0</v>
      </c>
      <c r="J69" s="62">
        <f>IFERROR(__xludf.DUMMYFUNCTION("""COMPUTED_VALUE"""),0.0)</f>
        <v>0</v>
      </c>
      <c r="K69" s="62"/>
      <c r="L69" s="62"/>
      <c r="M69" s="62"/>
      <c r="N69" s="62"/>
      <c r="O69" s="46">
        <f>IFERROR(__xludf.DUMMYFUNCTION("""COMPUTED_VALUE"""),0.0)</f>
        <v>0</v>
      </c>
      <c r="P69" s="47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62"/>
      <c r="D70" s="62"/>
      <c r="E70" s="62">
        <f>IFERROR(__xludf.DUMMYFUNCTION("""COMPUTED_VALUE"""),0.0)</f>
        <v>0</v>
      </c>
      <c r="F70" s="62">
        <f>IFERROR(__xludf.DUMMYFUNCTION("""COMPUTED_VALUE"""),0.0)</f>
        <v>0</v>
      </c>
      <c r="G70" s="62">
        <f>IFERROR(__xludf.DUMMYFUNCTION("""COMPUTED_VALUE"""),0.0)</f>
        <v>0</v>
      </c>
      <c r="H70" s="24"/>
      <c r="I70" s="62">
        <f>IFERROR(__xludf.DUMMYFUNCTION("""COMPUTED_VALUE"""),0.0)</f>
        <v>0</v>
      </c>
      <c r="J70" s="62">
        <f>IFERROR(__xludf.DUMMYFUNCTION("""COMPUTED_VALUE"""),0.0)</f>
        <v>0</v>
      </c>
      <c r="K70" s="62"/>
      <c r="L70" s="62"/>
      <c r="M70" s="62"/>
      <c r="N70" s="62"/>
      <c r="O70" s="46">
        <f>IFERROR(__xludf.DUMMYFUNCTION("""COMPUTED_VALUE"""),0.0)</f>
        <v>0</v>
      </c>
      <c r="P70" s="47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62"/>
      <c r="D71" s="62"/>
      <c r="E71" s="62">
        <f>IFERROR(__xludf.DUMMYFUNCTION("""COMPUTED_VALUE"""),0.0)</f>
        <v>0</v>
      </c>
      <c r="F71" s="62">
        <f>IFERROR(__xludf.DUMMYFUNCTION("""COMPUTED_VALUE"""),0.0)</f>
        <v>0</v>
      </c>
      <c r="G71" s="62">
        <f>IFERROR(__xludf.DUMMYFUNCTION("""COMPUTED_VALUE"""),0.0)</f>
        <v>0</v>
      </c>
      <c r="H71" s="24"/>
      <c r="I71" s="62">
        <f>IFERROR(__xludf.DUMMYFUNCTION("""COMPUTED_VALUE"""),0.0)</f>
        <v>0</v>
      </c>
      <c r="J71" s="62">
        <f>IFERROR(__xludf.DUMMYFUNCTION("""COMPUTED_VALUE"""),0.0)</f>
        <v>0</v>
      </c>
      <c r="K71" s="62"/>
      <c r="L71" s="62"/>
      <c r="M71" s="62"/>
      <c r="N71" s="62"/>
      <c r="O71" s="46">
        <f>IFERROR(__xludf.DUMMYFUNCTION("""COMPUTED_VALUE"""),0.0)</f>
        <v>0</v>
      </c>
      <c r="P71" s="47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62"/>
      <c r="D72" s="62"/>
      <c r="E72" s="62">
        <f>IFERROR(__xludf.DUMMYFUNCTION("""COMPUTED_VALUE"""),0.0)</f>
        <v>0</v>
      </c>
      <c r="F72" s="62">
        <f>IFERROR(__xludf.DUMMYFUNCTION("""COMPUTED_VALUE"""),0.0)</f>
        <v>0</v>
      </c>
      <c r="G72" s="62">
        <f>IFERROR(__xludf.DUMMYFUNCTION("""COMPUTED_VALUE"""),0.0)</f>
        <v>0</v>
      </c>
      <c r="H72" s="24"/>
      <c r="I72" s="62">
        <f>IFERROR(__xludf.DUMMYFUNCTION("""COMPUTED_VALUE"""),0.0)</f>
        <v>0</v>
      </c>
      <c r="J72" s="62">
        <f>IFERROR(__xludf.DUMMYFUNCTION("""COMPUTED_VALUE"""),0.0)</f>
        <v>0</v>
      </c>
      <c r="K72" s="62"/>
      <c r="L72" s="62"/>
      <c r="M72" s="62"/>
      <c r="N72" s="62"/>
      <c r="O72" s="46">
        <f>IFERROR(__xludf.DUMMYFUNCTION("""COMPUTED_VALUE"""),0.0)</f>
        <v>0</v>
      </c>
      <c r="P72" s="47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62"/>
      <c r="D73" s="62"/>
      <c r="E73" s="62">
        <f>IFERROR(__xludf.DUMMYFUNCTION("""COMPUTED_VALUE"""),0.0)</f>
        <v>0</v>
      </c>
      <c r="F73" s="62">
        <f>IFERROR(__xludf.DUMMYFUNCTION("""COMPUTED_VALUE"""),0.0)</f>
        <v>0</v>
      </c>
      <c r="G73" s="62">
        <f>IFERROR(__xludf.DUMMYFUNCTION("""COMPUTED_VALUE"""),0.0)</f>
        <v>0</v>
      </c>
      <c r="H73" s="24"/>
      <c r="I73" s="62">
        <f>IFERROR(__xludf.DUMMYFUNCTION("""COMPUTED_VALUE"""),0.0)</f>
        <v>0</v>
      </c>
      <c r="J73" s="62">
        <f>IFERROR(__xludf.DUMMYFUNCTION("""COMPUTED_VALUE"""),0.0)</f>
        <v>0</v>
      </c>
      <c r="K73" s="62"/>
      <c r="L73" s="62"/>
      <c r="M73" s="62"/>
      <c r="N73" s="62"/>
      <c r="O73" s="46">
        <f>IFERROR(__xludf.DUMMYFUNCTION("""COMPUTED_VALUE"""),0.0)</f>
        <v>0</v>
      </c>
      <c r="P73" s="47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62"/>
      <c r="D74" s="62"/>
      <c r="E74" s="62">
        <f>IFERROR(__xludf.DUMMYFUNCTION("""COMPUTED_VALUE"""),0.0)</f>
        <v>0</v>
      </c>
      <c r="F74" s="62">
        <f>IFERROR(__xludf.DUMMYFUNCTION("""COMPUTED_VALUE"""),0.0)</f>
        <v>0</v>
      </c>
      <c r="G74" s="62">
        <f>IFERROR(__xludf.DUMMYFUNCTION("""COMPUTED_VALUE"""),0.0)</f>
        <v>0</v>
      </c>
      <c r="H74" s="24"/>
      <c r="I74" s="62">
        <f>IFERROR(__xludf.DUMMYFUNCTION("""COMPUTED_VALUE"""),0.0)</f>
        <v>0</v>
      </c>
      <c r="J74" s="62">
        <f>IFERROR(__xludf.DUMMYFUNCTION("""COMPUTED_VALUE"""),0.0)</f>
        <v>0</v>
      </c>
      <c r="K74" s="62"/>
      <c r="L74" s="62"/>
      <c r="M74" s="62"/>
      <c r="N74" s="62"/>
      <c r="O74" s="46">
        <f>IFERROR(__xludf.DUMMYFUNCTION("""COMPUTED_VALUE"""),0.0)</f>
        <v>0</v>
      </c>
      <c r="P74" s="47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62"/>
      <c r="D75" s="62"/>
      <c r="E75" s="62">
        <f>IFERROR(__xludf.DUMMYFUNCTION("""COMPUTED_VALUE"""),0.0)</f>
        <v>0</v>
      </c>
      <c r="F75" s="62">
        <f>IFERROR(__xludf.DUMMYFUNCTION("""COMPUTED_VALUE"""),0.0)</f>
        <v>0</v>
      </c>
      <c r="G75" s="62">
        <f>IFERROR(__xludf.DUMMYFUNCTION("""COMPUTED_VALUE"""),0.0)</f>
        <v>0</v>
      </c>
      <c r="H75" s="24"/>
      <c r="I75" s="62">
        <f>IFERROR(__xludf.DUMMYFUNCTION("""COMPUTED_VALUE"""),0.0)</f>
        <v>0</v>
      </c>
      <c r="J75" s="62">
        <f>IFERROR(__xludf.DUMMYFUNCTION("""COMPUTED_VALUE"""),0.0)</f>
        <v>0</v>
      </c>
      <c r="K75" s="62"/>
      <c r="L75" s="62"/>
      <c r="M75" s="62"/>
      <c r="N75" s="62"/>
      <c r="O75" s="46">
        <f>IFERROR(__xludf.DUMMYFUNCTION("""COMPUTED_VALUE"""),0.0)</f>
        <v>0</v>
      </c>
      <c r="P75" s="47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62"/>
      <c r="D76" s="62"/>
      <c r="E76" s="62">
        <f>IFERROR(__xludf.DUMMYFUNCTION("""COMPUTED_VALUE"""),0.0)</f>
        <v>0</v>
      </c>
      <c r="F76" s="62">
        <f>IFERROR(__xludf.DUMMYFUNCTION("""COMPUTED_VALUE"""),0.0)</f>
        <v>0</v>
      </c>
      <c r="G76" s="62">
        <f>IFERROR(__xludf.DUMMYFUNCTION("""COMPUTED_VALUE"""),0.0)</f>
        <v>0</v>
      </c>
      <c r="H76" s="24"/>
      <c r="I76" s="62">
        <f>IFERROR(__xludf.DUMMYFUNCTION("""COMPUTED_VALUE"""),0.0)</f>
        <v>0</v>
      </c>
      <c r="J76" s="62">
        <f>IFERROR(__xludf.DUMMYFUNCTION("""COMPUTED_VALUE"""),0.0)</f>
        <v>0</v>
      </c>
      <c r="K76" s="62"/>
      <c r="L76" s="62"/>
      <c r="M76" s="62"/>
      <c r="N76" s="62"/>
      <c r="O76" s="46">
        <f>IFERROR(__xludf.DUMMYFUNCTION("""COMPUTED_VALUE"""),0.0)</f>
        <v>0</v>
      </c>
      <c r="P76" s="47">
        <f>IFERROR(__xludf.DUMMYFUNCTION("""COMPUTED_VALUE"""),0.0)</f>
        <v>0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IFERROR(__xludf.DUMMYFUNCTION("""COMPUTED_VALUE"""),1046852.0)</f>
        <v>1046852</v>
      </c>
      <c r="C77" s="46">
        <f>IFERROR(__xludf.DUMMYFUNCTION("""COMPUTED_VALUE"""),1068798.0)</f>
        <v>1068798</v>
      </c>
      <c r="D77" s="46">
        <f>IFERROR(__xludf.DUMMYFUNCTION("""COMPUTED_VALUE"""),1549809.0)</f>
        <v>1549809</v>
      </c>
      <c r="E77" s="46">
        <f>IFERROR(__xludf.DUMMYFUNCTION("""COMPUTED_VALUE"""),1046092.0)</f>
        <v>1046092</v>
      </c>
      <c r="F77" s="46">
        <f>IFERROR(__xludf.DUMMYFUNCTION("""COMPUTED_VALUE"""),1044353.0)</f>
        <v>1044353</v>
      </c>
      <c r="G77" s="46">
        <f>IFERROR(__xludf.DUMMYFUNCTION("""COMPUTED_VALUE"""),1054937.0)</f>
        <v>1054937</v>
      </c>
      <c r="H77" s="46">
        <f>IFERROR(__xludf.DUMMYFUNCTION("""COMPUTED_VALUE"""),0.0)</f>
        <v>0</v>
      </c>
      <c r="I77" s="46">
        <f>IFERROR(__xludf.DUMMYFUNCTION("""COMPUTED_VALUE"""),1098593.0)</f>
        <v>1098593</v>
      </c>
      <c r="J77" s="46">
        <f>IFERROR(__xludf.DUMMYFUNCTION("""COMPUTED_VALUE"""),1122470.0)</f>
        <v>1122470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IFERROR(__xludf.DUMMYFUNCTION("""COMPUTED_VALUE"""),9031904.0)</f>
        <v>9031904</v>
      </c>
      <c r="P77" s="47">
        <f>IFERROR(__xludf.DUMMYFUNCTION("""COMPUTED_VALUE"""),0.617603381612136)</f>
        <v>0.6176033816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IFERROR(__xludf.DUMMYFUNCTION("""COMPUTED_VALUE"""),1046852.0)</f>
        <v>1046852</v>
      </c>
      <c r="C78" s="68">
        <f>IFERROR(__xludf.DUMMYFUNCTION("""COMPUTED_VALUE"""),1068798.0)</f>
        <v>1068798</v>
      </c>
      <c r="D78" s="68">
        <f>IFERROR(__xludf.DUMMYFUNCTION("""COMPUTED_VALUE"""),1549809.0)</f>
        <v>1549809</v>
      </c>
      <c r="E78" s="68">
        <f>IFERROR(__xludf.DUMMYFUNCTION("""COMPUTED_VALUE"""),1046092.0)</f>
        <v>1046092</v>
      </c>
      <c r="F78" s="68">
        <f>IFERROR(__xludf.DUMMYFUNCTION("""COMPUTED_VALUE"""),1044353.0)</f>
        <v>1044353</v>
      </c>
      <c r="G78" s="68">
        <f>IFERROR(__xludf.DUMMYFUNCTION("""COMPUTED_VALUE"""),1054937.0)</f>
        <v>1054937</v>
      </c>
      <c r="H78" s="69"/>
      <c r="I78" s="68">
        <f>IFERROR(__xludf.DUMMYFUNCTION("""COMPUTED_VALUE"""),1098593.0)</f>
        <v>1098593</v>
      </c>
      <c r="J78" s="68">
        <f>IFERROR(__xludf.DUMMYFUNCTION("""COMPUTED_VALUE"""),1122470.0)</f>
        <v>1122470</v>
      </c>
      <c r="K78" s="68"/>
      <c r="L78" s="68"/>
      <c r="M78" s="68"/>
      <c r="N78" s="68"/>
      <c r="O78" s="52">
        <f>IFERROR(__xludf.DUMMYFUNCTION("""COMPUTED_VALUE"""),9031904.0)</f>
        <v>9031904</v>
      </c>
      <c r="P78" s="53">
        <f>IFERROR(__xludf.DUMMYFUNCTION("""COMPUTED_VALUE"""),1.0)</f>
        <v>1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IFERROR(__xludf.DUMMYFUNCTION("""COMPUTED_VALUE"""),0.0)</f>
        <v>0</v>
      </c>
      <c r="C79" s="68">
        <f>IFERROR(__xludf.DUMMYFUNCTION("""COMPUTED_VALUE"""),0.0)</f>
        <v>0</v>
      </c>
      <c r="D79" s="68">
        <f>IFERROR(__xludf.DUMMYFUNCTION("""COMPUTED_VALUE"""),0.0)</f>
        <v>0</v>
      </c>
      <c r="E79" s="68"/>
      <c r="F79" s="68"/>
      <c r="G79" s="68"/>
      <c r="H79" s="24"/>
      <c r="I79" s="68"/>
      <c r="J79" s="68"/>
      <c r="K79" s="68"/>
      <c r="L79" s="68"/>
      <c r="M79" s="68"/>
      <c r="N79" s="68"/>
      <c r="O79" s="52">
        <f>IFERROR(__xludf.DUMMYFUNCTION("""COMPUTED_VALUE"""),0.0)</f>
        <v>0</v>
      </c>
      <c r="P79" s="53">
        <f>IFERROR(__xludf.DUMMYFUNCTION("""COMPUTED_VALUE"""),0.0)</f>
        <v>0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IFERROR(__xludf.DUMMYFUNCTION("""COMPUTED_VALUE"""),0.0)</f>
        <v>0</v>
      </c>
      <c r="C80" s="68">
        <f>IFERROR(__xludf.DUMMYFUNCTION("""COMPUTED_VALUE"""),0.0)</f>
        <v>0</v>
      </c>
      <c r="D80" s="68">
        <f>IFERROR(__xludf.DUMMYFUNCTION("""COMPUTED_VALUE"""),0.0)</f>
        <v>0</v>
      </c>
      <c r="E80" s="68"/>
      <c r="F80" s="68"/>
      <c r="G80" s="68"/>
      <c r="H80" s="24"/>
      <c r="I80" s="68"/>
      <c r="J80" s="68"/>
      <c r="K80" s="68"/>
      <c r="L80" s="68"/>
      <c r="M80" s="68"/>
      <c r="N80" s="68"/>
      <c r="O80" s="52">
        <f>IFERROR(__xludf.DUMMYFUNCTION("""COMPUTED_VALUE"""),0.0)</f>
        <v>0</v>
      </c>
      <c r="P80" s="53">
        <f>IFERROR(__xludf.DUMMYFUNCTION("""COMPUTED_VALUE"""),0.0)</f>
        <v>0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IFERROR(__xludf.DUMMYFUNCTION("""COMPUTED_VALUE"""),0.0)</f>
        <v>0</v>
      </c>
      <c r="C81" s="68">
        <f>IFERROR(__xludf.DUMMYFUNCTION("""COMPUTED_VALUE"""),0.0)</f>
        <v>0</v>
      </c>
      <c r="D81" s="68">
        <f>IFERROR(__xludf.DUMMYFUNCTION("""COMPUTED_VALUE"""),0.0)</f>
        <v>0</v>
      </c>
      <c r="E81" s="68"/>
      <c r="F81" s="68"/>
      <c r="G81" s="68"/>
      <c r="H81" s="24"/>
      <c r="I81" s="68"/>
      <c r="J81" s="68"/>
      <c r="K81" s="68"/>
      <c r="L81" s="68"/>
      <c r="M81" s="68"/>
      <c r="N81" s="68"/>
      <c r="O81" s="52">
        <f>IFERROR(__xludf.DUMMYFUNCTION("""COMPUTED_VALUE"""),0.0)</f>
        <v>0</v>
      </c>
      <c r="P81" s="53">
        <f>IFERROR(__xludf.DUMMYFUNCTION("""COMPUTED_VALUE"""),0.0)</f>
        <v>0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62"/>
      <c r="D82" s="62"/>
      <c r="E82" s="62"/>
      <c r="F82" s="62"/>
      <c r="G82" s="62"/>
      <c r="H82" s="24"/>
      <c r="I82" s="62"/>
      <c r="J82" s="62"/>
      <c r="K82" s="62"/>
      <c r="L82" s="62"/>
      <c r="M82" s="62"/>
      <c r="N82" s="62"/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62"/>
      <c r="D83" s="62"/>
      <c r="E83" s="62">
        <f>IFERROR(__xludf.DUMMYFUNCTION("""COMPUTED_VALUE"""),0.0)</f>
        <v>0</v>
      </c>
      <c r="F83" s="62">
        <f>IFERROR(__xludf.DUMMYFUNCTION("""COMPUTED_VALUE"""),0.0)</f>
        <v>0</v>
      </c>
      <c r="G83" s="62">
        <f>IFERROR(__xludf.DUMMYFUNCTION("""COMPUTED_VALUE"""),0.0)</f>
        <v>0</v>
      </c>
      <c r="H83" s="24"/>
      <c r="I83" s="62"/>
      <c r="J83" s="62">
        <f>IFERROR(__xludf.DUMMYFUNCTION("""COMPUTED_VALUE"""),0.0)</f>
        <v>0</v>
      </c>
      <c r="K83" s="62"/>
      <c r="L83" s="62"/>
      <c r="M83" s="62"/>
      <c r="N83" s="62"/>
      <c r="O83" s="46">
        <f>IFERROR(__xludf.DUMMYFUNCTION("""COMPUTED_VALUE"""),0.0)</f>
        <v>0</v>
      </c>
      <c r="P83" s="47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IFERROR(__xludf.DUMMYFUNCTION("""COMPUTED_VALUE"""),0.0)</f>
        <v>0</v>
      </c>
      <c r="C84" s="46">
        <f>IFERROR(__xludf.DUMMYFUNCTION("""COMPUTED_VALUE"""),0.0)</f>
        <v>0</v>
      </c>
      <c r="D84" s="46">
        <f>IFERROR(__xludf.DUMMYFUNCTION("""COMPUTED_VALUE"""),0.0)</f>
        <v>0</v>
      </c>
      <c r="E84" s="46">
        <f>IFERROR(__xludf.DUMMYFUNCTION("""COMPUTED_VALUE"""),0.0)</f>
        <v>0</v>
      </c>
      <c r="F84" s="46">
        <f>IFERROR(__xludf.DUMMYFUNCTION("""COMPUTED_VALUE"""),0.0)</f>
        <v>0</v>
      </c>
      <c r="G84" s="46">
        <f>IFERROR(__xludf.DUMMYFUNCTION("""COMPUTED_VALUE"""),0.0)</f>
        <v>0</v>
      </c>
      <c r="H84" s="24">
        <f>IFERROR(__xludf.DUMMYFUNCTION("""COMPUTED_VALUE"""),0.0)</f>
        <v>0</v>
      </c>
      <c r="I84" s="46">
        <f>IFERROR(__xludf.DUMMYFUNCTION("""COMPUTED_VALUE"""),330.0)</f>
        <v>330</v>
      </c>
      <c r="J84" s="46">
        <f>IFERROR(__xludf.DUMMYFUNCTION("""COMPUTED_VALUE"""),0.0)</f>
        <v>0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IFERROR(__xludf.DUMMYFUNCTION("""COMPUTED_VALUE"""),330.0)</f>
        <v>330</v>
      </c>
      <c r="P84" s="47">
        <f>IFERROR(__xludf.DUMMYFUNCTION("""COMPUTED_VALUE"""),2.256546525871011E-5)</f>
        <v>0.00002256546526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/>
      <c r="C85" s="68"/>
      <c r="D85" s="68"/>
      <c r="E85" s="68">
        <f>IFERROR(__xludf.DUMMYFUNCTION("""COMPUTED_VALUE"""),0.0)</f>
        <v>0</v>
      </c>
      <c r="F85" s="68">
        <f>IFERROR(__xludf.DUMMYFUNCTION("""COMPUTED_VALUE"""),0.0)</f>
        <v>0</v>
      </c>
      <c r="G85" s="68">
        <f>IFERROR(__xludf.DUMMYFUNCTION("""COMPUTED_VALUE"""),0.0)</f>
        <v>0</v>
      </c>
      <c r="H85" s="24"/>
      <c r="I85" s="68">
        <f>IFERROR(__xludf.DUMMYFUNCTION("""COMPUTED_VALUE"""),330.0)</f>
        <v>330</v>
      </c>
      <c r="J85" s="68">
        <f>IFERROR(__xludf.DUMMYFUNCTION("""COMPUTED_VALUE"""),0.0)</f>
        <v>0</v>
      </c>
      <c r="K85" s="68"/>
      <c r="L85" s="68"/>
      <c r="M85" s="68"/>
      <c r="N85" s="68"/>
      <c r="O85" s="52">
        <f>IFERROR(__xludf.DUMMYFUNCTION("""COMPUTED_VALUE"""),330.0)</f>
        <v>330</v>
      </c>
      <c r="P85" s="53">
        <f>IFERROR(__xludf.DUMMYFUNCTION("""COMPUTED_VALUE"""),1.0)</f>
        <v>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68"/>
      <c r="D86" s="68"/>
      <c r="E86" s="68">
        <f>IFERROR(__xludf.DUMMYFUNCTION("""COMPUTED_VALUE"""),0.0)</f>
        <v>0</v>
      </c>
      <c r="F86" s="68">
        <f>IFERROR(__xludf.DUMMYFUNCTION("""COMPUTED_VALUE"""),0.0)</f>
        <v>0</v>
      </c>
      <c r="G86" s="68">
        <f>IFERROR(__xludf.DUMMYFUNCTION("""COMPUTED_VALUE"""),0.0)</f>
        <v>0</v>
      </c>
      <c r="H86" s="24"/>
      <c r="I86" s="68">
        <f>IFERROR(__xludf.DUMMYFUNCTION("""COMPUTED_VALUE"""),0.0)</f>
        <v>0</v>
      </c>
      <c r="J86" s="68">
        <f>IFERROR(__xludf.DUMMYFUNCTION("""COMPUTED_VALUE"""),0.0)</f>
        <v>0</v>
      </c>
      <c r="K86" s="68">
        <f>IFERROR(__xludf.DUMMYFUNCTION("""COMPUTED_VALUE"""),0.0)</f>
        <v>0</v>
      </c>
      <c r="L86" s="68">
        <f>IFERROR(__xludf.DUMMYFUNCTION("""COMPUTED_VALUE"""),0.0)</f>
        <v>0</v>
      </c>
      <c r="M86" s="68">
        <f>IFERROR(__xludf.DUMMYFUNCTION("""COMPUTED_VALUE"""),0.0)</f>
        <v>0</v>
      </c>
      <c r="N86" s="68">
        <f>IFERROR(__xludf.DUMMYFUNCTION("""COMPUTED_VALUE"""),0.0)</f>
        <v>0</v>
      </c>
      <c r="O86" s="52">
        <f>IFERROR(__xludf.DUMMYFUNCTION("""COMPUTED_VALUE"""),0.0)</f>
        <v>0</v>
      </c>
      <c r="P86" s="53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68"/>
      <c r="D87" s="68"/>
      <c r="E87" s="68">
        <f>IFERROR(__xludf.DUMMYFUNCTION("""COMPUTED_VALUE"""),0.0)</f>
        <v>0</v>
      </c>
      <c r="F87" s="68">
        <f>IFERROR(__xludf.DUMMYFUNCTION("""COMPUTED_VALUE"""),0.0)</f>
        <v>0</v>
      </c>
      <c r="G87" s="68">
        <f>IFERROR(__xludf.DUMMYFUNCTION("""COMPUTED_VALUE"""),0.0)</f>
        <v>0</v>
      </c>
      <c r="H87" s="24"/>
      <c r="I87" s="68">
        <f>IFERROR(__xludf.DUMMYFUNCTION("""COMPUTED_VALUE"""),0.0)</f>
        <v>0</v>
      </c>
      <c r="J87" s="68">
        <f>IFERROR(__xludf.DUMMYFUNCTION("""COMPUTED_VALUE"""),0.0)</f>
        <v>0</v>
      </c>
      <c r="K87" s="68">
        <f>IFERROR(__xludf.DUMMYFUNCTION("""COMPUTED_VALUE"""),0.0)</f>
        <v>0</v>
      </c>
      <c r="L87" s="68">
        <f>IFERROR(__xludf.DUMMYFUNCTION("""COMPUTED_VALUE"""),0.0)</f>
        <v>0</v>
      </c>
      <c r="M87" s="68">
        <f>IFERROR(__xludf.DUMMYFUNCTION("""COMPUTED_VALUE"""),0.0)</f>
        <v>0</v>
      </c>
      <c r="N87" s="68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68"/>
      <c r="D88" s="68"/>
      <c r="E88" s="68">
        <f>IFERROR(__xludf.DUMMYFUNCTION("""COMPUTED_VALUE"""),0.0)</f>
        <v>0</v>
      </c>
      <c r="F88" s="68">
        <f>IFERROR(__xludf.DUMMYFUNCTION("""COMPUTED_VALUE"""),0.0)</f>
        <v>0</v>
      </c>
      <c r="G88" s="68">
        <f>IFERROR(__xludf.DUMMYFUNCTION("""COMPUTED_VALUE"""),0.0)</f>
        <v>0</v>
      </c>
      <c r="H88" s="24"/>
      <c r="I88" s="68">
        <f>IFERROR(__xludf.DUMMYFUNCTION("""COMPUTED_VALUE"""),0.0)</f>
        <v>0</v>
      </c>
      <c r="J88" s="68">
        <f>IFERROR(__xludf.DUMMYFUNCTION("""COMPUTED_VALUE"""),0.0)</f>
        <v>0</v>
      </c>
      <c r="K88" s="68">
        <f>IFERROR(__xludf.DUMMYFUNCTION("""COMPUTED_VALUE"""),0.0)</f>
        <v>0</v>
      </c>
      <c r="L88" s="68">
        <f>IFERROR(__xludf.DUMMYFUNCTION("""COMPUTED_VALUE"""),0.0)</f>
        <v>0</v>
      </c>
      <c r="M88" s="68">
        <f>IFERROR(__xludf.DUMMYFUNCTION("""COMPUTED_VALUE"""),0.0)</f>
        <v>0</v>
      </c>
      <c r="N88" s="68">
        <f>IFERROR(__xludf.DUMMYFUNCTION("""COMPUTED_VALUE"""),0.0)</f>
        <v>0</v>
      </c>
      <c r="O88" s="52">
        <f>IFERROR(__xludf.DUMMYFUNCTION("""COMPUTED_VALUE"""),0.0)</f>
        <v>0</v>
      </c>
      <c r="P88" s="53">
        <f>IFERROR(__xludf.DUMMYFUNCTION("""COMPUTED_VALUE"""),0.0)</f>
        <v>0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IFERROR(__xludf.DUMMYFUNCTION("""COMPUTED_VALUE"""),742300.0)</f>
        <v>742300</v>
      </c>
      <c r="C89" s="46">
        <f>IFERROR(__xludf.DUMMYFUNCTION("""COMPUTED_VALUE"""),38250.0)</f>
        <v>38250</v>
      </c>
      <c r="D89" s="46">
        <f>IFERROR(__xludf.DUMMYFUNCTION("""COMPUTED_VALUE"""),495000.0)</f>
        <v>495000</v>
      </c>
      <c r="E89" s="46">
        <f>IFERROR(__xludf.DUMMYFUNCTION("""COMPUTED_VALUE"""),55800.0)</f>
        <v>55800</v>
      </c>
      <c r="F89" s="46">
        <f>IFERROR(__xludf.DUMMYFUNCTION("""COMPUTED_VALUE"""),101680.0)</f>
        <v>101680</v>
      </c>
      <c r="G89" s="46">
        <f>IFERROR(__xludf.DUMMYFUNCTION("""COMPUTED_VALUE"""),0.0)</f>
        <v>0</v>
      </c>
      <c r="H89" s="46">
        <f>IFERROR(__xludf.DUMMYFUNCTION("""COMPUTED_VALUE"""),0.0)</f>
        <v>0</v>
      </c>
      <c r="I89" s="46">
        <f>IFERROR(__xludf.DUMMYFUNCTION("""COMPUTED_VALUE"""),44360.0)</f>
        <v>44360</v>
      </c>
      <c r="J89" s="46">
        <f>IFERROR(__xludf.DUMMYFUNCTION("""COMPUTED_VALUE"""),43300.0)</f>
        <v>43300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IFERROR(__xludf.DUMMYFUNCTION("""COMPUTED_VALUE"""),1520690.0)</f>
        <v>1520690</v>
      </c>
      <c r="P89" s="47">
        <f>IFERROR(__xludf.DUMMYFUNCTION("""COMPUTED_VALUE"""),0.10398508292202387)</f>
        <v>0.1039850829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68"/>
      <c r="D90" s="68"/>
      <c r="E90" s="68">
        <f>IFERROR(__xludf.DUMMYFUNCTION("""COMPUTED_VALUE"""),0.0)</f>
        <v>0</v>
      </c>
      <c r="F90" s="68">
        <f>IFERROR(__xludf.DUMMYFUNCTION("""COMPUTED_VALUE"""),0.0)</f>
        <v>0</v>
      </c>
      <c r="G90" s="68">
        <f>IFERROR(__xludf.DUMMYFUNCTION("""COMPUTED_VALUE"""),0.0)</f>
        <v>0</v>
      </c>
      <c r="H90" s="24"/>
      <c r="I90" s="68">
        <f>IFERROR(__xludf.DUMMYFUNCTION("""COMPUTED_VALUE"""),0.0)</f>
        <v>0</v>
      </c>
      <c r="J90" s="68">
        <f>IFERROR(__xludf.DUMMYFUNCTION("""COMPUTED_VALUE"""),0.0)</f>
        <v>0</v>
      </c>
      <c r="K90" s="68"/>
      <c r="L90" s="68"/>
      <c r="M90" s="68"/>
      <c r="N90" s="68"/>
      <c r="O90" s="52">
        <f>IFERROR(__xludf.DUMMYFUNCTION("""COMPUTED_VALUE"""),0.0)</f>
        <v>0</v>
      </c>
      <c r="P90" s="53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67">
        <f>IFERROR(__xludf.DUMMYFUNCTION("""COMPUTED_VALUE"""),742300.0)</f>
        <v>742300</v>
      </c>
      <c r="C91" s="68">
        <f>IFERROR(__xludf.DUMMYFUNCTION("""COMPUTED_VALUE"""),38250.0)</f>
        <v>38250</v>
      </c>
      <c r="D91" s="68">
        <f>IFERROR(__xludf.DUMMYFUNCTION("""COMPUTED_VALUE"""),495000.0)</f>
        <v>495000</v>
      </c>
      <c r="E91" s="68">
        <f>IFERROR(__xludf.DUMMYFUNCTION("""COMPUTED_VALUE"""),55800.0)</f>
        <v>55800</v>
      </c>
      <c r="F91" s="68">
        <f>IFERROR(__xludf.DUMMYFUNCTION("""COMPUTED_VALUE"""),101680.0)</f>
        <v>101680</v>
      </c>
      <c r="G91" s="68">
        <f>IFERROR(__xludf.DUMMYFUNCTION("""COMPUTED_VALUE"""),0.0)</f>
        <v>0</v>
      </c>
      <c r="H91" s="24"/>
      <c r="I91" s="68">
        <f>IFERROR(__xludf.DUMMYFUNCTION("""COMPUTED_VALUE"""),44360.0)</f>
        <v>44360</v>
      </c>
      <c r="J91" s="68">
        <f>IFERROR(__xludf.DUMMYFUNCTION("""COMPUTED_VALUE"""),43300.0)</f>
        <v>43300</v>
      </c>
      <c r="K91" s="68"/>
      <c r="L91" s="68"/>
      <c r="M91" s="68"/>
      <c r="N91" s="68"/>
      <c r="O91" s="52">
        <f>IFERROR(__xludf.DUMMYFUNCTION("""COMPUTED_VALUE"""),1520690.0)</f>
        <v>1520690</v>
      </c>
      <c r="P91" s="53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62"/>
      <c r="D92" s="62">
        <f>IFERROR(__xludf.DUMMYFUNCTION("""COMPUTED_VALUE"""),10890.0)</f>
        <v>10890</v>
      </c>
      <c r="E92" s="62">
        <f>IFERROR(__xludf.DUMMYFUNCTION("""COMPUTED_VALUE"""),0.0)</f>
        <v>0</v>
      </c>
      <c r="F92" s="62">
        <f>IFERROR(__xludf.DUMMYFUNCTION("""COMPUTED_VALUE"""),0.0)</f>
        <v>0</v>
      </c>
      <c r="G92" s="62">
        <f>IFERROR(__xludf.DUMMYFUNCTION("""COMPUTED_VALUE"""),0.0)</f>
        <v>0</v>
      </c>
      <c r="H92" s="24"/>
      <c r="I92" s="62">
        <f>IFERROR(__xludf.DUMMYFUNCTION("""COMPUTED_VALUE"""),0.0)</f>
        <v>0</v>
      </c>
      <c r="J92" s="62">
        <f>IFERROR(__xludf.DUMMYFUNCTION("""COMPUTED_VALUE"""),0.0)</f>
        <v>0</v>
      </c>
      <c r="K92" s="62"/>
      <c r="L92" s="62"/>
      <c r="M92" s="62"/>
      <c r="N92" s="62"/>
      <c r="O92" s="46">
        <f>IFERROR(__xludf.DUMMYFUNCTION("""COMPUTED_VALUE"""),10890.0)</f>
        <v>10890</v>
      </c>
      <c r="P92" s="47">
        <f>IFERROR(__xludf.DUMMYFUNCTION("""COMPUTED_VALUE"""),7.446603535374336E-4)</f>
        <v>0.0007446603535</v>
      </c>
      <c r="Q92" s="16"/>
    </row>
    <row r="93" ht="15.75" customHeight="1">
      <c r="A93" s="48" t="str">
        <f>IFERROR(__xludf.DUMMYFUNCTION("""COMPUTED_VALUE"""),"販売促進費")</f>
        <v>販売促進費</v>
      </c>
      <c r="B93" s="70"/>
      <c r="C93" s="62"/>
      <c r="D93" s="62"/>
      <c r="E93" s="62">
        <f>IFERROR(__xludf.DUMMYFUNCTION("""COMPUTED_VALUE"""),517000.0)</f>
        <v>517000</v>
      </c>
      <c r="F93" s="62">
        <f>IFERROR(__xludf.DUMMYFUNCTION("""COMPUTED_VALUE"""),0.0)</f>
        <v>0</v>
      </c>
      <c r="G93" s="62">
        <f>IFERROR(__xludf.DUMMYFUNCTION("""COMPUTED_VALUE"""),29183.0)</f>
        <v>29183</v>
      </c>
      <c r="H93" s="24"/>
      <c r="I93" s="62">
        <f>IFERROR(__xludf.DUMMYFUNCTION("""COMPUTED_VALUE"""),290400.0)</f>
        <v>290400</v>
      </c>
      <c r="J93" s="62">
        <f>IFERROR(__xludf.DUMMYFUNCTION("""COMPUTED_VALUE"""),522500.0)</f>
        <v>522500</v>
      </c>
      <c r="K93" s="62"/>
      <c r="L93" s="62"/>
      <c r="M93" s="62"/>
      <c r="N93" s="62"/>
      <c r="O93" s="46">
        <f>IFERROR(__xludf.DUMMYFUNCTION("""COMPUTED_VALUE"""),1359083.0)</f>
        <v>1359083</v>
      </c>
      <c r="P93" s="47">
        <f>IFERROR(__xludf.DUMMYFUNCTION("""COMPUTED_VALUE"""),0.092934364303647)</f>
        <v>0.0929343643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55"/>
      <c r="D94" s="55"/>
      <c r="E94" s="55"/>
      <c r="F94" s="55"/>
      <c r="G94" s="55"/>
      <c r="H94" s="24"/>
      <c r="I94" s="55"/>
      <c r="J94" s="55"/>
      <c r="K94" s="55"/>
      <c r="L94" s="55"/>
      <c r="M94" s="55"/>
      <c r="N94" s="55"/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IFERROR(__xludf.DUMMYFUNCTION("""COMPUTED_VALUE"""),0.0)</f>
        <v>0</v>
      </c>
      <c r="C96" s="56">
        <f>IFERROR(__xludf.DUMMYFUNCTION("""COMPUTED_VALUE"""),0.013455820298675411)</f>
        <v>0.0134558203</v>
      </c>
      <c r="D96" s="56">
        <f>IFERROR(__xludf.DUMMYFUNCTION("""COMPUTED_VALUE"""),0.0029424583872017774)</f>
        <v>0.002942458387</v>
      </c>
      <c r="E96" s="56">
        <f>IFERROR(__xludf.DUMMYFUNCTION("""COMPUTED_VALUE"""),0.0)</f>
        <v>0</v>
      </c>
      <c r="F96" s="56">
        <f>IFERROR(__xludf.DUMMYFUNCTION("""COMPUTED_VALUE"""),0.0)</f>
        <v>0</v>
      </c>
      <c r="G96" s="56">
        <f>IFERROR(__xludf.DUMMYFUNCTION("""COMPUTED_VALUE"""),0.0)</f>
        <v>0</v>
      </c>
      <c r="H96" s="24"/>
      <c r="I96" s="56">
        <f>IFERROR(__xludf.DUMMYFUNCTION("""COMPUTED_VALUE"""),0.009724521973441447)</f>
        <v>0.009724521973</v>
      </c>
      <c r="J96" s="56">
        <f>IFERROR(__xludf.DUMMYFUNCTION("""COMPUTED_VALUE"""),0.0)</f>
        <v>0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IFERROR(__xludf.DUMMYFUNCTION("""COMPUTED_VALUE"""),0.003924559323327111)</f>
        <v>0.003924559323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IFERROR(__xludf.DUMMYFUNCTION("""COMPUTED_VALUE"""),0.611268312906183)</f>
        <v>0.6112683129</v>
      </c>
      <c r="C97" s="56">
        <f>IFERROR(__xludf.DUMMYFUNCTION("""COMPUTED_VALUE"""),0.2155314843326991)</f>
        <v>0.2155314843</v>
      </c>
      <c r="D97" s="56">
        <f>IFERROR(__xludf.DUMMYFUNCTION("""COMPUTED_VALUE"""),0.25910502787561357)</f>
        <v>0.2591050279</v>
      </c>
      <c r="E97" s="56">
        <f>IFERROR(__xludf.DUMMYFUNCTION("""COMPUTED_VALUE"""),0.3249152685564346)</f>
        <v>0.3249152686</v>
      </c>
      <c r="F97" s="56">
        <f>IFERROR(__xludf.DUMMYFUNCTION("""COMPUTED_VALUE"""),0.7676520506802523)</f>
        <v>0.7676520507</v>
      </c>
      <c r="G97" s="56">
        <f>IFERROR(__xludf.DUMMYFUNCTION("""COMPUTED_VALUE"""),0.2568138862083438)</f>
        <v>0.2568138862</v>
      </c>
      <c r="H97" s="24"/>
      <c r="I97" s="56">
        <f>IFERROR(__xludf.DUMMYFUNCTION("""COMPUTED_VALUE"""),0.32373611419299875)</f>
        <v>0.3237361142</v>
      </c>
      <c r="J97" s="56">
        <f>IFERROR(__xludf.DUMMYFUNCTION("""COMPUTED_VALUE"""),0.21748460177553555)</f>
        <v>0.2174846018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 t="str">
        <f>IFERROR(__xludf.DUMMYFUNCTION("""COMPUTED_VALUE"""),"")</f>
        <v/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IFERROR(__xludf.DUMMYFUNCTION("""COMPUTED_VALUE"""),85514.81818181819)</f>
        <v>85514.81818</v>
      </c>
      <c r="C98" s="46">
        <f>IFERROR(__xludf.DUMMYFUNCTION("""COMPUTED_VALUE"""),439827.27272727276)</f>
        <v>439827.2727</v>
      </c>
      <c r="D98" s="46">
        <f>IFERROR(__xludf.DUMMYFUNCTION("""COMPUTED_VALUE"""),491773.1818181818)</f>
        <v>491773.1818</v>
      </c>
      <c r="E98" s="46">
        <f>IFERROR(__xludf.DUMMYFUNCTION("""COMPUTED_VALUE"""),238078.63636363638)</f>
        <v>238078.6364</v>
      </c>
      <c r="F98" s="46">
        <f>IFERROR(__xludf.DUMMYFUNCTION("""COMPUTED_VALUE"""),113825.45454545454)</f>
        <v>113825.4545</v>
      </c>
      <c r="G98" s="46">
        <f>IFERROR(__xludf.DUMMYFUNCTION("""COMPUTED_VALUE"""),369605.54545454547)</f>
        <v>369605.5455</v>
      </c>
      <c r="H98" s="46"/>
      <c r="I98" s="46">
        <f>IFERROR(__xludf.DUMMYFUNCTION("""COMPUTED_VALUE"""),274661.0)</f>
        <v>274661</v>
      </c>
      <c r="J98" s="46">
        <f>IFERROR(__xludf.DUMMYFUNCTION("""COMPUTED_VALUE"""),417025.9090909091)</f>
        <v>417025.9091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IFERROR(__xludf.DUMMYFUNCTION("""COMPUTED_VALUE"""),2430311.8181818184)</f>
        <v>2430311.818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/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IFERROR(__xludf.DUMMYFUNCTION("""COMPUTED_VALUE"""),-191703.81818181812)</f>
        <v>-191703.8182</v>
      </c>
      <c r="C100" s="44">
        <f>IFERROR(__xludf.DUMMYFUNCTION("""COMPUTED_VALUE"""),3329474.7272727275)</f>
        <v>3329474.727</v>
      </c>
      <c r="D100" s="44">
        <f>IFERROR(__xludf.DUMMYFUNCTION("""COMPUTED_VALUE"""),3367922.8181818184)</f>
        <v>3367922.818</v>
      </c>
      <c r="E100" s="44">
        <f>IFERROR(__xludf.DUMMYFUNCTION("""COMPUTED_VALUE"""),1334694.3636363635)</f>
        <v>1334694.364</v>
      </c>
      <c r="F100" s="44">
        <f>IFERROR(__xludf.DUMMYFUNCTION("""COMPUTED_VALUE"""),93901.54545454541)</f>
        <v>93901.54545</v>
      </c>
      <c r="G100" s="44">
        <f>IFERROR(__xludf.DUMMYFUNCTION("""COMPUTED_VALUE"""),2641118.4545454546)</f>
        <v>2641118.455</v>
      </c>
      <c r="H100" s="24"/>
      <c r="I100" s="44">
        <f>IFERROR(__xludf.DUMMYFUNCTION("""COMPUTED_VALUE"""),1648017.0)</f>
        <v>1648017</v>
      </c>
      <c r="J100" s="44">
        <f>IFERROR(__xludf.DUMMYFUNCTION("""COMPUTED_VALUE"""),3047789.090909091)</f>
        <v>3047789.091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IFERROR(__xludf.DUMMYFUNCTION("""COMPUTED_VALUE"""),1.5271214181818184E7)</f>
        <v>15271214.18</v>
      </c>
      <c r="P100" s="45">
        <f>IFERROR(__xludf.DUMMYFUNCTION("""COMPUTED_VALUE"""),0.20944185908221075)</f>
        <v>0.2094418591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IFERROR(__xludf.DUMMYFUNCTION("""COMPUTED_VALUE"""),0.0)</f>
        <v>0</v>
      </c>
      <c r="F101" s="46">
        <f>IFERROR(__xludf.DUMMYFUNCTION("""COMPUTED_VALUE"""),0.0)</f>
        <v>0</v>
      </c>
      <c r="G101" s="46">
        <f>IFERROR(__xludf.DUMMYFUNCTION("""COMPUTED_VALUE"""),0.0)</f>
        <v>0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IFERROR(__xludf.DUMMYFUNCTION("""COMPUTED_VALUE"""),0.0)</f>
        <v>0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68"/>
      <c r="D102" s="68"/>
      <c r="E102" s="68"/>
      <c r="F102" s="68"/>
      <c r="G102" s="68"/>
      <c r="H102" s="24"/>
      <c r="I102" s="68"/>
      <c r="J102" s="68"/>
      <c r="K102" s="68"/>
      <c r="L102" s="68"/>
      <c r="M102" s="68"/>
      <c r="N102" s="68"/>
      <c r="O102" s="52">
        <f>IFERROR(__xludf.DUMMYFUNCTION("""COMPUTED_VALUE"""),0.0)</f>
        <v>0</v>
      </c>
      <c r="P102" s="53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68"/>
      <c r="D103" s="68"/>
      <c r="E103" s="68"/>
      <c r="F103" s="68"/>
      <c r="G103" s="68"/>
      <c r="H103" s="24"/>
      <c r="I103" s="68"/>
      <c r="J103" s="68"/>
      <c r="K103" s="68"/>
      <c r="L103" s="68"/>
      <c r="M103" s="68"/>
      <c r="N103" s="68"/>
      <c r="O103" s="52">
        <f>IFERROR(__xludf.DUMMYFUNCTION("""COMPUTED_VALUE"""),0.0)</f>
        <v>0</v>
      </c>
      <c r="P103" s="53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68"/>
      <c r="D104" s="68"/>
      <c r="E104" s="68"/>
      <c r="F104" s="68"/>
      <c r="G104" s="68"/>
      <c r="H104" s="24"/>
      <c r="I104" s="68"/>
      <c r="J104" s="68"/>
      <c r="K104" s="68"/>
      <c r="L104" s="68"/>
      <c r="M104" s="68"/>
      <c r="N104" s="68"/>
      <c r="O104" s="52">
        <f>IFERROR(__xludf.DUMMYFUNCTION("""COMPUTED_VALUE"""),0.0)</f>
        <v>0</v>
      </c>
      <c r="P104" s="53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46">
        <f>IFERROR(__xludf.DUMMYFUNCTION("""COMPUTED_VALUE"""),0.0)</f>
        <v>0</v>
      </c>
      <c r="D105" s="46">
        <f>IFERROR(__xludf.DUMMYFUNCTION("""COMPUTED_VALUE"""),0.0)</f>
        <v>0</v>
      </c>
      <c r="E105" s="46">
        <f>IFERROR(__xludf.DUMMYFUNCTION("""COMPUTED_VALUE"""),0.0)</f>
        <v>0</v>
      </c>
      <c r="F105" s="46">
        <f>IFERROR(__xludf.DUMMYFUNCTION("""COMPUTED_VALUE"""),0.0)</f>
        <v>0</v>
      </c>
      <c r="G105" s="46">
        <f>IFERROR(__xludf.DUMMYFUNCTION("""COMPUTED_VALUE"""),0.0)</f>
        <v>0</v>
      </c>
      <c r="H105" s="24"/>
      <c r="I105" s="46">
        <f>IFERROR(__xludf.DUMMYFUNCTION("""COMPUTED_VALUE"""),0.0)</f>
        <v>0</v>
      </c>
      <c r="J105" s="46">
        <f>IFERROR(__xludf.DUMMYFUNCTION("""COMPUTED_VALUE"""),0.0)</f>
        <v>0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IFERROR(__xludf.DUMMYFUNCTION("""COMPUTED_VALUE"""),0.0)</f>
        <v>0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68"/>
      <c r="D106" s="68"/>
      <c r="E106" s="68"/>
      <c r="F106" s="68"/>
      <c r="G106" s="68"/>
      <c r="H106" s="24"/>
      <c r="I106" s="68"/>
      <c r="J106" s="68">
        <f>IFERROR(__xludf.DUMMYFUNCTION("""COMPUTED_VALUE"""),0.0)</f>
        <v>0</v>
      </c>
      <c r="K106" s="68"/>
      <c r="L106" s="68"/>
      <c r="M106" s="68"/>
      <c r="N106" s="68"/>
      <c r="O106" s="52">
        <f>IFERROR(__xludf.DUMMYFUNCTION("""COMPUTED_VALUE"""),0.0)</f>
        <v>0</v>
      </c>
      <c r="P106" s="53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68"/>
      <c r="D107" s="68"/>
      <c r="E107" s="68"/>
      <c r="F107" s="68"/>
      <c r="G107" s="68"/>
      <c r="H107" s="24"/>
      <c r="I107" s="68"/>
      <c r="J107" s="68">
        <f>IFERROR(__xludf.DUMMYFUNCTION("""COMPUTED_VALUE"""),0.0)</f>
        <v>0</v>
      </c>
      <c r="K107" s="68"/>
      <c r="L107" s="68"/>
      <c r="M107" s="68"/>
      <c r="N107" s="68"/>
      <c r="O107" s="52">
        <f>IFERROR(__xludf.DUMMYFUNCTION("""COMPUTED_VALUE"""),0.0)</f>
        <v>0</v>
      </c>
      <c r="P107" s="53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IFERROR(__xludf.DUMMYFUNCTION("""COMPUTED_VALUE"""),-191703.81818181812)</f>
        <v>-191703.8182</v>
      </c>
      <c r="C108" s="44">
        <f>IFERROR(__xludf.DUMMYFUNCTION("""COMPUTED_VALUE"""),3329474.7272727275)</f>
        <v>3329474.727</v>
      </c>
      <c r="D108" s="44">
        <f>IFERROR(__xludf.DUMMYFUNCTION("""COMPUTED_VALUE"""),3367922.8181818184)</f>
        <v>3367922.818</v>
      </c>
      <c r="E108" s="44">
        <f>IFERROR(__xludf.DUMMYFUNCTION("""COMPUTED_VALUE"""),1334694.3636363635)</f>
        <v>1334694.364</v>
      </c>
      <c r="F108" s="44">
        <f>IFERROR(__xludf.DUMMYFUNCTION("""COMPUTED_VALUE"""),93901.54545454541)</f>
        <v>93901.54545</v>
      </c>
      <c r="G108" s="44">
        <f>IFERROR(__xludf.DUMMYFUNCTION("""COMPUTED_VALUE"""),2641118.4545454546)</f>
        <v>2641118.455</v>
      </c>
      <c r="H108" s="24"/>
      <c r="I108" s="44">
        <f>IFERROR(__xludf.DUMMYFUNCTION("""COMPUTED_VALUE"""),1648017.0)</f>
        <v>1648017</v>
      </c>
      <c r="J108" s="44">
        <f>IFERROR(__xludf.DUMMYFUNCTION("""COMPUTED_VALUE"""),3047789.090909091)</f>
        <v>3047789.091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IFERROR(__xludf.DUMMYFUNCTION("""COMPUTED_VALUE"""),1.5271214181818184E7)</f>
        <v>15271214.18</v>
      </c>
      <c r="P108" s="45">
        <f>IFERROR(__xludf.DUMMYFUNCTION("""COMPUTED_VALUE"""),0.20944185908221075)</f>
        <v>0.2094418591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IFERROR(__xludf.DUMMYFUNCTION("""COMPUTED_VALUE"""),-76681.52727272725)</f>
        <v>-76681.52727</v>
      </c>
      <c r="C109" s="46">
        <f>IFERROR(__xludf.DUMMYFUNCTION("""COMPUTED_VALUE"""),1331789.890909091)</f>
        <v>1331789.891</v>
      </c>
      <c r="D109" s="46">
        <f>IFERROR(__xludf.DUMMYFUNCTION("""COMPUTED_VALUE"""),1347169.1272727274)</f>
        <v>1347169.127</v>
      </c>
      <c r="E109" s="46">
        <f>IFERROR(__xludf.DUMMYFUNCTION("""COMPUTED_VALUE"""),533877.7454545455)</f>
        <v>533877.7455</v>
      </c>
      <c r="F109" s="46">
        <f>IFERROR(__xludf.DUMMYFUNCTION("""COMPUTED_VALUE"""),37560.618181818165)</f>
        <v>37560.61818</v>
      </c>
      <c r="G109" s="46">
        <f>IFERROR(__xludf.DUMMYFUNCTION("""COMPUTED_VALUE"""),1056447.3818181818)</f>
        <v>1056447.382</v>
      </c>
      <c r="H109" s="24"/>
      <c r="I109" s="46">
        <f>IFERROR(__xludf.DUMMYFUNCTION("""COMPUTED_VALUE"""),659206.8)</f>
        <v>659206.8</v>
      </c>
      <c r="J109" s="46">
        <f>IFERROR(__xludf.DUMMYFUNCTION("""COMPUTED_VALUE"""),1219115.6363636365)</f>
        <v>1219115.636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IFERROR(__xludf.DUMMYFUNCTION("""COMPUTED_VALUE"""),6108485.672727273)</f>
        <v>6108485.673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IFERROR(__xludf.DUMMYFUNCTION("""COMPUTED_VALUE"""),-115022.29090909087)</f>
        <v>-115022.2909</v>
      </c>
      <c r="C110" s="44">
        <f>IFERROR(__xludf.DUMMYFUNCTION("""COMPUTED_VALUE"""),1997684.8363636364)</f>
        <v>1997684.836</v>
      </c>
      <c r="D110" s="44">
        <f>IFERROR(__xludf.DUMMYFUNCTION("""COMPUTED_VALUE"""),2020753.690909091)</f>
        <v>2020753.691</v>
      </c>
      <c r="E110" s="44">
        <f>IFERROR(__xludf.DUMMYFUNCTION("""COMPUTED_VALUE"""),800816.618181818)</f>
        <v>800816.6182</v>
      </c>
      <c r="F110" s="44">
        <f>IFERROR(__xludf.DUMMYFUNCTION("""COMPUTED_VALUE"""),56340.92727272725)</f>
        <v>56340.92727</v>
      </c>
      <c r="G110" s="44">
        <f>IFERROR(__xludf.DUMMYFUNCTION("""COMPUTED_VALUE"""),1584671.0727272728)</f>
        <v>1584671.073</v>
      </c>
      <c r="H110" s="24"/>
      <c r="I110" s="44">
        <f>IFERROR(__xludf.DUMMYFUNCTION("""COMPUTED_VALUE"""),988810.2)</f>
        <v>988810.2</v>
      </c>
      <c r="J110" s="44">
        <f>IFERROR(__xludf.DUMMYFUNCTION("""COMPUTED_VALUE"""),1828673.4545454544)</f>
        <v>1828673.455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IFERROR(__xludf.DUMMYFUNCTION("""COMPUTED_VALUE"""),9162728.509090908)</f>
        <v>9162728.509</v>
      </c>
      <c r="P110" s="45">
        <f>IFERROR(__xludf.DUMMYFUNCTION("""COMPUTED_VALUE"""),0.1256651154493264)</f>
        <v>0.1256651154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IFERROR(__xludf.DUMMYFUNCTION("""COMPUTED_VALUE"""),-191703.81818181812)</f>
        <v>-191703.8182</v>
      </c>
      <c r="C112" s="44">
        <f>IFERROR(__xludf.DUMMYFUNCTION("""COMPUTED_VALUE"""),3329474.7272727275)</f>
        <v>3329474.727</v>
      </c>
      <c r="D112" s="44">
        <f>IFERROR(__xludf.DUMMYFUNCTION("""COMPUTED_VALUE"""),3367922.8181818184)</f>
        <v>3367922.818</v>
      </c>
      <c r="E112" s="44">
        <f>IFERROR(__xludf.DUMMYFUNCTION("""COMPUTED_VALUE"""),1334694.3636363635)</f>
        <v>1334694.364</v>
      </c>
      <c r="F112" s="44">
        <f>IFERROR(__xludf.DUMMYFUNCTION("""COMPUTED_VALUE"""),93901.54545454541)</f>
        <v>93901.54545</v>
      </c>
      <c r="G112" s="44">
        <f>IFERROR(__xludf.DUMMYFUNCTION("""COMPUTED_VALUE"""),2641118.4545454546)</f>
        <v>2641118.455</v>
      </c>
      <c r="H112" s="24"/>
      <c r="I112" s="44">
        <f>IFERROR(__xludf.DUMMYFUNCTION("""COMPUTED_VALUE"""),1648017.0)</f>
        <v>1648017</v>
      </c>
      <c r="J112" s="44">
        <f>IFERROR(__xludf.DUMMYFUNCTION("""COMPUTED_VALUE"""),3047789.090909091)</f>
        <v>3047789.091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IFERROR(__xludf.DUMMYFUNCTION("""COMPUTED_VALUE"""),1908901.772727273)</f>
        <v>1908901.773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IFERROR(__xludf.DUMMYFUNCTION("""COMPUTED_VALUE"""),1.0)</f>
        <v>1</v>
      </c>
      <c r="C113" s="71">
        <f>IFERROR(__xludf.DUMMYFUNCTION("""COMPUTED_VALUE"""),1.0)</f>
        <v>1</v>
      </c>
      <c r="D113" s="71">
        <f>IFERROR(__xludf.DUMMYFUNCTION("""COMPUTED_VALUE"""),1.0)</f>
        <v>1</v>
      </c>
      <c r="E113" s="71">
        <f>IFERROR(__xludf.DUMMYFUNCTION("""COMPUTED_VALUE"""),1.0)</f>
        <v>1</v>
      </c>
      <c r="F113" s="71">
        <f>IFERROR(__xludf.DUMMYFUNCTION("""COMPUTED_VALUE"""),1.0)</f>
        <v>1</v>
      </c>
      <c r="G113" s="71">
        <f>IFERROR(__xludf.DUMMYFUNCTION("""COMPUTED_VALUE"""),1.0)</f>
        <v>1</v>
      </c>
      <c r="H113" s="29"/>
      <c r="I113" s="71">
        <f>IFERROR(__xludf.DUMMYFUNCTION("""COMPUTED_VALUE"""),1.0)</f>
        <v>1</v>
      </c>
      <c r="J113" s="71">
        <f>IFERROR(__xludf.DUMMYFUNCTION("""COMPUTED_VALUE"""),1.0)</f>
        <v>1</v>
      </c>
      <c r="K113" s="71"/>
      <c r="L113" s="71"/>
      <c r="M113" s="71"/>
      <c r="N113" s="71"/>
      <c r="O113" s="50">
        <f>IFERROR(__xludf.DUMMYFUNCTION("""COMPUTED_VALUE"""),8.0)</f>
        <v>8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IFERROR(__xludf.DUMMYFUNCTION("""COMPUTED_VALUE"""),2.0)</f>
        <v>2</v>
      </c>
      <c r="C114" s="71">
        <f>IFERROR(__xludf.DUMMYFUNCTION("""COMPUTED_VALUE"""),2.0)</f>
        <v>2</v>
      </c>
      <c r="D114" s="71">
        <f>IFERROR(__xludf.DUMMYFUNCTION("""COMPUTED_VALUE"""),2.0)</f>
        <v>2</v>
      </c>
      <c r="E114" s="71">
        <f>IFERROR(__xludf.DUMMYFUNCTION("""COMPUTED_VALUE"""),2.0)</f>
        <v>2</v>
      </c>
      <c r="F114" s="71">
        <f>IFERROR(__xludf.DUMMYFUNCTION("""COMPUTED_VALUE"""),2.0)</f>
        <v>2</v>
      </c>
      <c r="G114" s="71">
        <f>IFERROR(__xludf.DUMMYFUNCTION("""COMPUTED_VALUE"""),2.0)</f>
        <v>2</v>
      </c>
      <c r="H114" s="29"/>
      <c r="I114" s="71">
        <f>IFERROR(__xludf.DUMMYFUNCTION("""COMPUTED_VALUE"""),2.0)</f>
        <v>2</v>
      </c>
      <c r="J114" s="71">
        <f>IFERROR(__xludf.DUMMYFUNCTION("""COMPUTED_VALUE"""),2.0)</f>
        <v>2</v>
      </c>
      <c r="K114" s="71"/>
      <c r="L114" s="71"/>
      <c r="M114" s="71"/>
      <c r="N114" s="71"/>
      <c r="O114" s="50">
        <f>IFERROR(__xludf.DUMMYFUNCTION("""COMPUTED_VALUE"""),16.0)</f>
        <v>16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IFERROR(__xludf.DUMMYFUNCTION("""COMPUTED_VALUE"""),-1974810.2604422604)</f>
        <v>-1974810.26</v>
      </c>
      <c r="C116" s="44">
        <f>IFERROR(__xludf.DUMMYFUNCTION("""COMPUTED_VALUE"""),1623054.3130434786)</f>
        <v>1623054.313</v>
      </c>
      <c r="D116" s="44">
        <f>IFERROR(__xludf.DUMMYFUNCTION("""COMPUTED_VALUE"""),2044444.3786561268)</f>
        <v>2044444.379</v>
      </c>
      <c r="E116" s="44">
        <f>IFERROR(__xludf.DUMMYFUNCTION("""COMPUTED_VALUE"""),97730.38961038948)</f>
        <v>97730.38961</v>
      </c>
      <c r="F116" s="44">
        <f>IFERROR(__xludf.DUMMYFUNCTION("""COMPUTED_VALUE"""),-1751071.9264822134)</f>
        <v>-1751071.926</v>
      </c>
      <c r="G116" s="44">
        <f>IFERROR(__xludf.DUMMYFUNCTION("""COMPUTED_VALUE"""),1402895.4064171123)</f>
        <v>1402895.406</v>
      </c>
      <c r="H116" s="24"/>
      <c r="I116" s="44">
        <f>IFERROR(__xludf.DUMMYFUNCTION("""COMPUTED_VALUE"""),229580.31245225365)</f>
        <v>229580.3125</v>
      </c>
      <c r="J116" s="44">
        <f>IFERROR(__xludf.DUMMYFUNCTION("""COMPUTED_VALUE"""),1731576.7858752816)</f>
        <v>1731576.786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IFERROR(__xludf.DUMMYFUNCTION("""COMPUTED_VALUE"""),3403399.3991301684)</f>
        <v>3403399.399</v>
      </c>
      <c r="P116" s="45">
        <f>IFERROR(__xludf.DUMMYFUNCTION("""COMPUTED_VALUE"""),0.04667698906363149)</f>
        <v>0.04667698906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IFERROR(__xludf.DUMMYFUNCTION("""COMPUTED_VALUE"""),-1974810.2604422604)</f>
        <v>-1974810.26</v>
      </c>
      <c r="C117" s="46">
        <f>IFERROR(__xludf.DUMMYFUNCTION("""COMPUTED_VALUE"""),1623054.3130434786)</f>
        <v>1623054.313</v>
      </c>
      <c r="D117" s="46">
        <f>IFERROR(__xludf.DUMMYFUNCTION("""COMPUTED_VALUE"""),2044444.3786561268)</f>
        <v>2044444.379</v>
      </c>
      <c r="E117" s="46">
        <f>IFERROR(__xludf.DUMMYFUNCTION("""COMPUTED_VALUE"""),97730.38961038948)</f>
        <v>97730.38961</v>
      </c>
      <c r="F117" s="46">
        <f>IFERROR(__xludf.DUMMYFUNCTION("""COMPUTED_VALUE"""),-1751071.9264822134)</f>
        <v>-1751071.926</v>
      </c>
      <c r="G117" s="46">
        <f>IFERROR(__xludf.DUMMYFUNCTION("""COMPUTED_VALUE"""),1402895.4064171123)</f>
        <v>1402895.406</v>
      </c>
      <c r="H117" s="24"/>
      <c r="I117" s="46">
        <f>IFERROR(__xludf.DUMMYFUNCTION("""COMPUTED_VALUE"""),229580.31245225365)</f>
        <v>229580.3125</v>
      </c>
      <c r="J117" s="46">
        <f>IFERROR(__xludf.DUMMYFUNCTION("""COMPUTED_VALUE"""),1731576.7858752816)</f>
        <v>1731576.786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IFERROR(__xludf.DUMMYFUNCTION("""COMPUTED_VALUE"""),3403399.3991301684)</f>
        <v>3403399.399</v>
      </c>
      <c r="P117" s="59">
        <f>IFERROR(__xludf.DUMMYFUNCTION("""COMPUTED_VALUE"""),0.04667698906363149)</f>
        <v>0.04667698906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IFERROR(__xludf.DUMMYFUNCTION("""COMPUTED_VALUE"""),3.0)</f>
        <v>3</v>
      </c>
      <c r="C118" s="58">
        <f>IFERROR(__xludf.DUMMYFUNCTION("""COMPUTED_VALUE"""),3.0)</f>
        <v>3</v>
      </c>
      <c r="D118" s="58">
        <f>IFERROR(__xludf.DUMMYFUNCTION("""COMPUTED_VALUE"""),3.0)</f>
        <v>3</v>
      </c>
      <c r="E118" s="58">
        <f>IFERROR(__xludf.DUMMYFUNCTION("""COMPUTED_VALUE"""),3.0)</f>
        <v>3</v>
      </c>
      <c r="F118" s="58">
        <f>IFERROR(__xludf.DUMMYFUNCTION("""COMPUTED_VALUE"""),3.0)</f>
        <v>3</v>
      </c>
      <c r="G118" s="58">
        <f>IFERROR(__xludf.DUMMYFUNCTION("""COMPUTED_VALUE"""),3.0)</f>
        <v>3</v>
      </c>
      <c r="H118" s="29"/>
      <c r="I118" s="58">
        <f>IFERROR(__xludf.DUMMYFUNCTION("""COMPUTED_VALUE"""),3.0)</f>
        <v>3</v>
      </c>
      <c r="J118" s="58">
        <f>IFERROR(__xludf.DUMMYFUNCTION("""COMPUTED_VALUE"""),3.0)</f>
        <v>3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IFERROR(__xludf.DUMMYFUNCTION("""COMPUTED_VALUE"""),24.0)</f>
        <v>24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IFERROR(__xludf.DUMMYFUNCTION("""COMPUTED_VALUE"""),0.05405405405405406)</f>
        <v>0.05405405405</v>
      </c>
      <c r="C119" s="49">
        <f>IFERROR(__xludf.DUMMYFUNCTION("""COMPUTED_VALUE"""),0.05217391304347826)</f>
        <v>0.05217391304</v>
      </c>
      <c r="D119" s="49">
        <f>IFERROR(__xludf.DUMMYFUNCTION("""COMPUTED_VALUE"""),0.05217391304347826)</f>
        <v>0.05217391304</v>
      </c>
      <c r="E119" s="49">
        <f>IFERROR(__xludf.DUMMYFUNCTION("""COMPUTED_VALUE"""),0.05042016806722689)</f>
        <v>0.05042016807</v>
      </c>
      <c r="F119" s="49">
        <f>IFERROR(__xludf.DUMMYFUNCTION("""COMPUTED_VALUE"""),0.05217391304347826)</f>
        <v>0.05217391304</v>
      </c>
      <c r="G119" s="49">
        <f>IFERROR(__xludf.DUMMYFUNCTION("""COMPUTED_VALUE"""),0.05042016806722689)</f>
        <v>0.05042016807</v>
      </c>
      <c r="H119" s="24"/>
      <c r="I119" s="49">
        <f>IFERROR(__xludf.DUMMYFUNCTION("""COMPUTED_VALUE"""),0.05042016806722689)</f>
        <v>0.05042016807</v>
      </c>
      <c r="J119" s="49">
        <f>IFERROR(__xludf.DUMMYFUNCTION("""COMPUTED_VALUE"""),0.049586776859504134)</f>
        <v>0.04958677686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IFERROR(__xludf.DUMMYFUNCTION("""COMPUTED_VALUE"""),0.05139186295503212)</f>
        <v>0.05139186296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IFERROR(__xludf.DUMMYFUNCTION("""COMPUTED_VALUE"""),1783106.4422604423)</f>
        <v>1783106.442</v>
      </c>
      <c r="C120" s="46">
        <f>IFERROR(__xludf.DUMMYFUNCTION("""COMPUTED_VALUE"""),1706420.4142292489)</f>
        <v>1706420.414</v>
      </c>
      <c r="D120" s="46">
        <f>IFERROR(__xludf.DUMMYFUNCTION("""COMPUTED_VALUE"""),1323478.4395256916)</f>
        <v>1323478.44</v>
      </c>
      <c r="E120" s="46">
        <f>IFERROR(__xludf.DUMMYFUNCTION("""COMPUTED_VALUE"""),1236963.974025974)</f>
        <v>1236963.974</v>
      </c>
      <c r="F120" s="46">
        <f>IFERROR(__xludf.DUMMYFUNCTION("""COMPUTED_VALUE"""),1844973.4719367588)</f>
        <v>1844973.472</v>
      </c>
      <c r="G120" s="46">
        <f>IFERROR(__xludf.DUMMYFUNCTION("""COMPUTED_VALUE"""),1238223.0481283423)</f>
        <v>1238223.048</v>
      </c>
      <c r="H120" s="46"/>
      <c r="I120" s="46">
        <f>IFERROR(__xludf.DUMMYFUNCTION("""COMPUTED_VALUE"""),1418436.6875477463)</f>
        <v>1418436.688</v>
      </c>
      <c r="J120" s="46">
        <f>IFERROR(__xludf.DUMMYFUNCTION("""COMPUTED_VALUE"""),1316212.3050338093)</f>
        <v>1316212.305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IFERROR(__xludf.DUMMYFUNCTION("""COMPUTED_VALUE"""),1.1867814782688012E7)</f>
        <v>11867814.78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IFERROR(__xludf.DUMMYFUNCTION("""COMPUTED_VALUE"""),771927.0)</f>
        <v>771927</v>
      </c>
      <c r="C122" s="46">
        <f>IFERROR(__xludf.DUMMYFUNCTION("""COMPUTED_VALUE"""),120795.0)</f>
        <v>120795</v>
      </c>
      <c r="D122" s="46">
        <f>IFERROR(__xludf.DUMMYFUNCTION("""COMPUTED_VALUE"""),571888.0)</f>
        <v>571888</v>
      </c>
      <c r="E122" s="46">
        <f>IFERROR(__xludf.DUMMYFUNCTION("""COMPUTED_VALUE"""),600719.0)</f>
        <v>600719</v>
      </c>
      <c r="F122" s="46">
        <f>IFERROR(__xludf.DUMMYFUNCTION("""COMPUTED_VALUE"""),108371.0)</f>
        <v>108371</v>
      </c>
      <c r="G122" s="46">
        <f>IFERROR(__xludf.DUMMYFUNCTION("""COMPUTED_VALUE"""),42127.0)</f>
        <v>42127</v>
      </c>
      <c r="H122" s="24"/>
      <c r="I122" s="46">
        <f>IFERROR(__xludf.DUMMYFUNCTION("""COMPUTED_VALUE"""),372212.0)</f>
        <v>372212</v>
      </c>
      <c r="J122" s="46">
        <f>IFERROR(__xludf.DUMMYFUNCTION("""COMPUTED_VALUE"""),573862.0)</f>
        <v>573862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D9EEB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IFERROR(__xludf.DUMMYFUNCTION("IMPORTRANGE(""https://docs.google.com/spreadsheets/d/1SlHuJEDBJ4Gy3WXeRPN-U9OYonTEM2Yhh4rIuiFr5bQ/edit#gid=256474166"",""GEC!A:S"")"),"2022年度")</f>
        <v>2022年度</v>
      </c>
      <c r="B1" s="38">
        <f>IFERROR(__xludf.DUMMYFUNCTION("""COMPUTED_VALUE"""),7.0)</f>
        <v>7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IFERROR(__xludf.DUMMYFUNCTION("""COMPUTED_VALUE"""),"GEC")</f>
        <v>GEC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IFERROR(__xludf.DUMMYFUNCTION("""COMPUTED_VALUE"""),7117718.0)</f>
        <v>7117718</v>
      </c>
      <c r="C3" s="44">
        <f>IFERROR(__xludf.DUMMYFUNCTION("""COMPUTED_VALUE"""),6248860.0)</f>
        <v>6248860</v>
      </c>
      <c r="D3" s="44">
        <f>IFERROR(__xludf.DUMMYFUNCTION("""COMPUTED_VALUE"""),1.545081E7)</f>
        <v>15450810</v>
      </c>
      <c r="E3" s="44">
        <f>IFERROR(__xludf.DUMMYFUNCTION("""COMPUTED_VALUE"""),1.7149639E7)</f>
        <v>17149639</v>
      </c>
      <c r="F3" s="44">
        <f>IFERROR(__xludf.DUMMYFUNCTION("""COMPUTED_VALUE"""),1.1957667E7)</f>
        <v>11957667</v>
      </c>
      <c r="G3" s="44">
        <f>IFERROR(__xludf.DUMMYFUNCTION("""COMPUTED_VALUE"""),6921975.0)</f>
        <v>6921975</v>
      </c>
      <c r="H3" s="24"/>
      <c r="I3" s="44">
        <f>IFERROR(__xludf.DUMMYFUNCTION("""COMPUTED_VALUE"""),2.434375E7)</f>
        <v>24343750</v>
      </c>
      <c r="J3" s="44">
        <f>IFERROR(__xludf.DUMMYFUNCTION("""COMPUTED_VALUE"""),2.0864938E7)</f>
        <v>20864938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IFERROR(__xludf.DUMMYFUNCTION("""COMPUTED_VALUE"""),1.10055357E8)</f>
        <v>110055357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75">
        <f>IFERROR(__xludf.DUMMYFUNCTION("""COMPUTED_VALUE"""),7117718.0)</f>
        <v>7117718</v>
      </c>
      <c r="C10" s="62">
        <f>IFERROR(__xludf.DUMMYFUNCTION("""COMPUTED_VALUE"""),6248860.0)</f>
        <v>6248860</v>
      </c>
      <c r="D10" s="62">
        <f>IFERROR(__xludf.DUMMYFUNCTION("""COMPUTED_VALUE"""),1.545081E7)</f>
        <v>15450810</v>
      </c>
      <c r="E10" s="62">
        <f>IFERROR(__xludf.DUMMYFUNCTION("""COMPUTED_VALUE"""),1.7149639E7)</f>
        <v>17149639</v>
      </c>
      <c r="F10" s="62">
        <f>IFERROR(__xludf.DUMMYFUNCTION("""COMPUTED_VALUE"""),1.1957667E7)</f>
        <v>11957667</v>
      </c>
      <c r="G10" s="62">
        <f>IFERROR(__xludf.DUMMYFUNCTION("""COMPUTED_VALUE"""),6921975.0)</f>
        <v>6921975</v>
      </c>
      <c r="H10" s="24"/>
      <c r="I10" s="62">
        <f>IFERROR(__xludf.DUMMYFUNCTION("""COMPUTED_VALUE"""),2.434375E7)</f>
        <v>24343750</v>
      </c>
      <c r="J10" s="62">
        <f>IFERROR(__xludf.DUMMYFUNCTION("""COMPUTED_VALUE"""),2.0864938E7)</f>
        <v>20864938</v>
      </c>
      <c r="K10" s="62"/>
      <c r="L10" s="62"/>
      <c r="M10" s="62"/>
      <c r="N10" s="62"/>
      <c r="O10" s="46">
        <f>IFERROR(__xludf.DUMMYFUNCTION("""COMPUTED_VALUE"""),1.10055357E8)</f>
        <v>110055357</v>
      </c>
      <c r="P10" s="47">
        <f>IFERROR(__xludf.DUMMYFUNCTION("""COMPUTED_VALUE"""),1.0)</f>
        <v>1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IFERROR(__xludf.DUMMYFUNCTION("""COMPUTED_VALUE"""),3099756.0)</f>
        <v>3099756</v>
      </c>
      <c r="C16" s="44">
        <f>IFERROR(__xludf.DUMMYFUNCTION("""COMPUTED_VALUE"""),3120169.0)</f>
        <v>3120169</v>
      </c>
      <c r="D16" s="44">
        <f>IFERROR(__xludf.DUMMYFUNCTION("""COMPUTED_VALUE"""),6378671.0)</f>
        <v>6378671</v>
      </c>
      <c r="E16" s="44">
        <f>IFERROR(__xludf.DUMMYFUNCTION("""COMPUTED_VALUE"""),6189036.0)</f>
        <v>6189036</v>
      </c>
      <c r="F16" s="44">
        <f>IFERROR(__xludf.DUMMYFUNCTION("""COMPUTED_VALUE"""),5126013.0)</f>
        <v>5126013</v>
      </c>
      <c r="G16" s="44">
        <f>IFERROR(__xludf.DUMMYFUNCTION("""COMPUTED_VALUE"""),2828903.0)</f>
        <v>2828903</v>
      </c>
      <c r="H16" s="24"/>
      <c r="I16" s="44">
        <f>IFERROR(__xludf.DUMMYFUNCTION("""COMPUTED_VALUE"""),1.009854E7)</f>
        <v>10098540</v>
      </c>
      <c r="J16" s="44">
        <f>IFERROR(__xludf.DUMMYFUNCTION("""COMPUTED_VALUE"""),8526388.0)</f>
        <v>8526388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IFERROR(__xludf.DUMMYFUNCTION("""COMPUTED_VALUE"""),4.5367476E7)</f>
        <v>45367476</v>
      </c>
      <c r="P16" s="45">
        <f>IFERROR(__xludf.DUMMYFUNCTION("""COMPUTED_VALUE"""),0.4122241500702233)</f>
        <v>0.4122241501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>
        <f>IFERROR(__xludf.DUMMYFUNCTION("""COMPUTED_VALUE"""),0.0)</f>
        <v>0</v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>
        <f>IFERROR(__xludf.DUMMYFUNCTION("""COMPUTED_VALUE"""),0.0)</f>
        <v>0</v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>
        <f>IFERROR(__xludf.DUMMYFUNCTION("""COMPUTED_VALUE"""),0.0)</f>
        <v>0</v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>
        <f>IFERROR(__xludf.DUMMYFUNCTION("""COMPUTED_VALUE"""),0.0)</f>
        <v>0</v>
      </c>
      <c r="Q22" s="16"/>
    </row>
    <row r="23" ht="16.5" customHeight="1">
      <c r="A23" s="3" t="str">
        <f>IFERROR(__xludf.DUMMYFUNCTION("""COMPUTED_VALUE"""),"GEC")</f>
        <v>GEC</v>
      </c>
      <c r="B23" s="62">
        <f>IFERROR(__xludf.DUMMYFUNCTION("""COMPUTED_VALUE"""),3099756.0)</f>
        <v>3099756</v>
      </c>
      <c r="C23" s="62">
        <f>IFERROR(__xludf.DUMMYFUNCTION("""COMPUTED_VALUE"""),3120169.0)</f>
        <v>3120169</v>
      </c>
      <c r="D23" s="62">
        <f>IFERROR(__xludf.DUMMYFUNCTION("""COMPUTED_VALUE"""),6378671.0)</f>
        <v>6378671</v>
      </c>
      <c r="E23" s="62">
        <f>IFERROR(__xludf.DUMMYFUNCTION("""COMPUTED_VALUE"""),6189036.0)</f>
        <v>6189036</v>
      </c>
      <c r="F23" s="62">
        <f>IFERROR(__xludf.DUMMYFUNCTION("""COMPUTED_VALUE"""),5126013.0)</f>
        <v>5126013</v>
      </c>
      <c r="G23" s="62">
        <f>IFERROR(__xludf.DUMMYFUNCTION("""COMPUTED_VALUE"""),2828903.0)</f>
        <v>2828903</v>
      </c>
      <c r="H23" s="24"/>
      <c r="I23" s="62">
        <f>IFERROR(__xludf.DUMMYFUNCTION("""COMPUTED_VALUE"""),1.009854E7)</f>
        <v>10098540</v>
      </c>
      <c r="J23" s="62">
        <f>IFERROR(__xludf.DUMMYFUNCTION("""COMPUTED_VALUE"""),8526388.0)</f>
        <v>8526388</v>
      </c>
      <c r="K23" s="62"/>
      <c r="L23" s="62"/>
      <c r="M23" s="62"/>
      <c r="N23" s="62"/>
      <c r="O23" s="46">
        <f>IFERROR(__xludf.DUMMYFUNCTION("""COMPUTED_VALUE"""),4.5367476E7)</f>
        <v>45367476</v>
      </c>
      <c r="P23" s="47">
        <f>IFERROR(__xludf.DUMMYFUNCTION("""COMPUTED_VALUE"""),1.0)</f>
        <v>1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>
        <f>IFERROR(__xludf.DUMMYFUNCTION("""COMPUTED_VALUE"""),0.0)</f>
        <v>0</v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IFERROR(__xludf.DUMMYFUNCTION("""COMPUTED_VALUE"""),4017962.0)</f>
        <v>4017962</v>
      </c>
      <c r="C29" s="44">
        <f>IFERROR(__xludf.DUMMYFUNCTION("""COMPUTED_VALUE"""),3128691.0)</f>
        <v>3128691</v>
      </c>
      <c r="D29" s="44">
        <f>IFERROR(__xludf.DUMMYFUNCTION("""COMPUTED_VALUE"""),9072139.0)</f>
        <v>9072139</v>
      </c>
      <c r="E29" s="44">
        <f>IFERROR(__xludf.DUMMYFUNCTION("""COMPUTED_VALUE"""),1.0960603E7)</f>
        <v>10960603</v>
      </c>
      <c r="F29" s="44">
        <f>IFERROR(__xludf.DUMMYFUNCTION("""COMPUTED_VALUE"""),6831654.0)</f>
        <v>6831654</v>
      </c>
      <c r="G29" s="44">
        <f>IFERROR(__xludf.DUMMYFUNCTION("""COMPUTED_VALUE"""),4093072.0)</f>
        <v>4093072</v>
      </c>
      <c r="H29" s="24"/>
      <c r="I29" s="44">
        <f>IFERROR(__xludf.DUMMYFUNCTION("""COMPUTED_VALUE"""),1.424521E7)</f>
        <v>14245210</v>
      </c>
      <c r="J29" s="44">
        <f>IFERROR(__xludf.DUMMYFUNCTION("""COMPUTED_VALUE"""),1.233855E7)</f>
        <v>12338550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IFERROR(__xludf.DUMMYFUNCTION("""COMPUTED_VALUE"""),6.4687881E7)</f>
        <v>64687881</v>
      </c>
      <c r="P29" s="45">
        <f>IFERROR(__xludf.DUMMYFUNCTION("""COMPUTED_VALUE"""),0.5877758499297767)</f>
        <v>0.5877758499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>
        <f>IFERROR(__xludf.DUMMYFUNCTION("""COMPUTED_VALUE"""),4017962.0)</f>
        <v>4017962</v>
      </c>
      <c r="C36" s="65">
        <f>IFERROR(__xludf.DUMMYFUNCTION("""COMPUTED_VALUE"""),3128691.0)</f>
        <v>3128691</v>
      </c>
      <c r="D36" s="65">
        <f>IFERROR(__xludf.DUMMYFUNCTION("""COMPUTED_VALUE"""),9072139.0)</f>
        <v>9072139</v>
      </c>
      <c r="E36" s="65">
        <f>IFERROR(__xludf.DUMMYFUNCTION("""COMPUTED_VALUE"""),1.0960603E7)</f>
        <v>10960603</v>
      </c>
      <c r="F36" s="65">
        <f>IFERROR(__xludf.DUMMYFUNCTION("""COMPUTED_VALUE"""),6831654.0)</f>
        <v>6831654</v>
      </c>
      <c r="G36" s="65">
        <f>IFERROR(__xludf.DUMMYFUNCTION("""COMPUTED_VALUE"""),4093072.0)</f>
        <v>4093072</v>
      </c>
      <c r="H36" s="66"/>
      <c r="I36" s="65">
        <f>IFERROR(__xludf.DUMMYFUNCTION("""COMPUTED_VALUE"""),1.424521E7)</f>
        <v>14245210</v>
      </c>
      <c r="J36" s="65">
        <f>IFERROR(__xludf.DUMMYFUNCTION("""COMPUTED_VALUE"""),1.233855E7)</f>
        <v>12338550</v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IFERROR(__xludf.DUMMYFUNCTION("""COMPUTED_VALUE"""),6.4687881E7)</f>
        <v>64687881</v>
      </c>
      <c r="P36" s="47">
        <f>IFERROR(__xludf.DUMMYFUNCTION("""COMPUTED_VALUE"""),1.0)</f>
        <v>1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IFERROR(__xludf.DUMMYFUNCTION("""COMPUTED_VALUE"""),0.564501431498129)</f>
        <v>0.5645014315</v>
      </c>
      <c r="C42" s="49">
        <f>IFERROR(__xludf.DUMMYFUNCTION("""COMPUTED_VALUE"""),0.5006818843757102)</f>
        <v>0.5006818844</v>
      </c>
      <c r="D42" s="49">
        <f>IFERROR(__xludf.DUMMYFUNCTION("""COMPUTED_VALUE"""),0.5871626794970619)</f>
        <v>0.5871626795</v>
      </c>
      <c r="E42" s="49">
        <f>IFERROR(__xludf.DUMMYFUNCTION("""COMPUTED_VALUE"""),0.6391156688487728)</f>
        <v>0.6391156688</v>
      </c>
      <c r="F42" s="49">
        <f>IFERROR(__xludf.DUMMYFUNCTION("""COMPUTED_VALUE"""),0.5713199740384141)</f>
        <v>0.571319974</v>
      </c>
      <c r="G42" s="49">
        <f>IFERROR(__xludf.DUMMYFUNCTION("""COMPUTED_VALUE"""),0.5913156288487028)</f>
        <v>0.5913156288</v>
      </c>
      <c r="H42" s="16"/>
      <c r="I42" s="49">
        <f>IFERROR(__xludf.DUMMYFUNCTION("""COMPUTED_VALUE"""),0.5851690885750963)</f>
        <v>0.5851690886</v>
      </c>
      <c r="J42" s="49">
        <f>IFERROR(__xludf.DUMMYFUNCTION("""COMPUTED_VALUE"""),0.5913533028471016)</f>
        <v>0.5913533028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IFERROR(__xludf.DUMMYFUNCTION("""COMPUTED_VALUE"""),0.5877758499297767)</f>
        <v>0.5877758499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IFERROR(__xludf.DUMMYFUNCTION("""COMPUTED_VALUE"""),2657828.0)</f>
        <v>2657828</v>
      </c>
      <c r="C44" s="44">
        <f>IFERROR(__xludf.DUMMYFUNCTION("""COMPUTED_VALUE"""),2666416.7272727275)</f>
        <v>2666416.727</v>
      </c>
      <c r="D44" s="44">
        <f>IFERROR(__xludf.DUMMYFUNCTION("""COMPUTED_VALUE"""),4717453.363636363)</f>
        <v>4717453.364</v>
      </c>
      <c r="E44" s="44">
        <f>IFERROR(__xludf.DUMMYFUNCTION("""COMPUTED_VALUE"""),3570288.0)</f>
        <v>3570288</v>
      </c>
      <c r="F44" s="44">
        <f>IFERROR(__xludf.DUMMYFUNCTION("""COMPUTED_VALUE"""),3879426.8181818184)</f>
        <v>3879426.818</v>
      </c>
      <c r="G44" s="44">
        <f>IFERROR(__xludf.DUMMYFUNCTION("""COMPUTED_VALUE"""),2564583.5454545454)</f>
        <v>2564583.545</v>
      </c>
      <c r="H44" s="16"/>
      <c r="I44" s="44">
        <f>IFERROR(__xludf.DUMMYFUNCTION("""COMPUTED_VALUE"""),3886863.6363636367)</f>
        <v>3886863.636</v>
      </c>
      <c r="J44" s="44">
        <f>IFERROR(__xludf.DUMMYFUNCTION("""COMPUTED_VALUE"""),3286741.6363636367)</f>
        <v>3286741.636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IFERROR(__xludf.DUMMYFUNCTION("""COMPUTED_VALUE"""),2.7229601727272727E7)</f>
        <v>27229601.73</v>
      </c>
      <c r="P44" s="45">
        <f>IFERROR(__xludf.DUMMYFUNCTION("""COMPUTED_VALUE"""),0.24741732224150367)</f>
        <v>0.2474173222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IFERROR(__xludf.DUMMYFUNCTION("""COMPUTED_VALUE"""),77451.0)</f>
        <v>77451</v>
      </c>
      <c r="C45" s="46">
        <f>IFERROR(__xludf.DUMMYFUNCTION("""COMPUTED_VALUE"""),39947.0)</f>
        <v>39947</v>
      </c>
      <c r="D45" s="46">
        <f>IFERROR(__xludf.DUMMYFUNCTION("""COMPUTED_VALUE"""),42834.0)</f>
        <v>42834</v>
      </c>
      <c r="E45" s="46">
        <f>IFERROR(__xludf.DUMMYFUNCTION("""COMPUTED_VALUE"""),38892.0)</f>
        <v>38892</v>
      </c>
      <c r="F45" s="46">
        <f>IFERROR(__xludf.DUMMYFUNCTION("""COMPUTED_VALUE"""),38016.0)</f>
        <v>38016</v>
      </c>
      <c r="G45" s="46">
        <f>IFERROR(__xludf.DUMMYFUNCTION("""COMPUTED_VALUE"""),41161.0)</f>
        <v>41161</v>
      </c>
      <c r="H45" s="46">
        <f>IFERROR(__xludf.DUMMYFUNCTION("""COMPUTED_VALUE"""),0.0)</f>
        <v>0</v>
      </c>
      <c r="I45" s="46">
        <f>IFERROR(__xludf.DUMMYFUNCTION("""COMPUTED_VALUE"""),69580.0)</f>
        <v>69580</v>
      </c>
      <c r="J45" s="46">
        <f>IFERROR(__xludf.DUMMYFUNCTION("""COMPUTED_VALUE"""),40182.0)</f>
        <v>40182</v>
      </c>
      <c r="K45" s="46">
        <f>IFERROR(__xludf.DUMMYFUNCTION("""COMPUTED_VALUE"""),0.0)</f>
        <v>0</v>
      </c>
      <c r="L45" s="46">
        <f>IFERROR(__xludf.DUMMYFUNCTION("""COMPUTED_VALUE"""),0.0)</f>
        <v>0</v>
      </c>
      <c r="M45" s="46">
        <f>IFERROR(__xludf.DUMMYFUNCTION("""COMPUTED_VALUE"""),0.0)</f>
        <v>0</v>
      </c>
      <c r="N45" s="46">
        <f>IFERROR(__xludf.DUMMYFUNCTION("""COMPUTED_VALUE"""),0.0)</f>
        <v>0</v>
      </c>
      <c r="O45" s="46">
        <f>IFERROR(__xludf.DUMMYFUNCTION("""COMPUTED_VALUE"""),388063.0)</f>
        <v>388063</v>
      </c>
      <c r="P45" s="47">
        <f>IFERROR(__xludf.DUMMYFUNCTION("""COMPUTED_VALUE"""),0.014251512155292466)</f>
        <v>0.01425151216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IFERROR(__xludf.DUMMYFUNCTION("""COMPUTED_VALUE"""),21469.0)</f>
        <v>21469</v>
      </c>
      <c r="C46" s="68">
        <f>IFERROR(__xludf.DUMMYFUNCTION("""COMPUTED_VALUE"""),21832.0)</f>
        <v>21832</v>
      </c>
      <c r="D46" s="68">
        <f>IFERROR(__xludf.DUMMYFUNCTION("""COMPUTED_VALUE"""),21997.0)</f>
        <v>21997</v>
      </c>
      <c r="E46" s="68">
        <f>IFERROR(__xludf.DUMMYFUNCTION("""COMPUTED_VALUE"""),23625.0)</f>
        <v>23625</v>
      </c>
      <c r="F46" s="68">
        <f>IFERROR(__xludf.DUMMYFUNCTION("""COMPUTED_VALUE"""),21361.0)</f>
        <v>21361</v>
      </c>
      <c r="G46" s="68">
        <f>IFERROR(__xludf.DUMMYFUNCTION("""COMPUTED_VALUE"""),25430.0)</f>
        <v>25430</v>
      </c>
      <c r="H46" s="69"/>
      <c r="I46" s="68">
        <f>IFERROR(__xludf.DUMMYFUNCTION("""COMPUTED_VALUE"""),20098.0)</f>
        <v>20098</v>
      </c>
      <c r="J46" s="68">
        <f>IFERROR(__xludf.DUMMYFUNCTION("""COMPUTED_VALUE"""),20530.0)</f>
        <v>20530</v>
      </c>
      <c r="K46" s="68"/>
      <c r="L46" s="68"/>
      <c r="M46" s="68"/>
      <c r="N46" s="68"/>
      <c r="O46" s="52">
        <f>IFERROR(__xludf.DUMMYFUNCTION("""COMPUTED_VALUE"""),176342.0)</f>
        <v>176342</v>
      </c>
      <c r="P46" s="53">
        <f>IFERROR(__xludf.DUMMYFUNCTION("""COMPUTED_VALUE"""),0.4544159066955623)</f>
        <v>0.4544159067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IFERROR(__xludf.DUMMYFUNCTION("""COMPUTED_VALUE"""),3452.0)</f>
        <v>3452</v>
      </c>
      <c r="C47" s="68">
        <f>IFERROR(__xludf.DUMMYFUNCTION("""COMPUTED_VALUE"""),6450.0)</f>
        <v>6450</v>
      </c>
      <c r="D47" s="68">
        <f>IFERROR(__xludf.DUMMYFUNCTION("""COMPUTED_VALUE"""),9116.0)</f>
        <v>9116</v>
      </c>
      <c r="E47" s="68">
        <f>IFERROR(__xludf.DUMMYFUNCTION("""COMPUTED_VALUE"""),2406.0)</f>
        <v>2406</v>
      </c>
      <c r="F47" s="68">
        <f>IFERROR(__xludf.DUMMYFUNCTION("""COMPUTED_VALUE"""),3836.0)</f>
        <v>3836</v>
      </c>
      <c r="G47" s="68">
        <f>IFERROR(__xludf.DUMMYFUNCTION("""COMPUTED_VALUE"""),3262.0)</f>
        <v>3262</v>
      </c>
      <c r="H47" s="69"/>
      <c r="I47" s="68">
        <f>IFERROR(__xludf.DUMMYFUNCTION("""COMPUTED_VALUE"""),2990.0)</f>
        <v>2990</v>
      </c>
      <c r="J47" s="68">
        <f>IFERROR(__xludf.DUMMYFUNCTION("""COMPUTED_VALUE"""),2712.0)</f>
        <v>2712</v>
      </c>
      <c r="K47" s="68"/>
      <c r="L47" s="68"/>
      <c r="M47" s="68"/>
      <c r="N47" s="68"/>
      <c r="O47" s="52">
        <f>IFERROR(__xludf.DUMMYFUNCTION("""COMPUTED_VALUE"""),34224.0)</f>
        <v>34224</v>
      </c>
      <c r="P47" s="53">
        <f>IFERROR(__xludf.DUMMYFUNCTION("""COMPUTED_VALUE"""),0.08819186575375648)</f>
        <v>0.08819186575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IFERROR(__xludf.DUMMYFUNCTION("""COMPUTED_VALUE"""),52530.0)</f>
        <v>52530</v>
      </c>
      <c r="C48" s="68">
        <f>IFERROR(__xludf.DUMMYFUNCTION("""COMPUTED_VALUE"""),11665.0)</f>
        <v>11665</v>
      </c>
      <c r="D48" s="68">
        <f>IFERROR(__xludf.DUMMYFUNCTION("""COMPUTED_VALUE"""),11721.0)</f>
        <v>11721</v>
      </c>
      <c r="E48" s="68">
        <f>IFERROR(__xludf.DUMMYFUNCTION("""COMPUTED_VALUE"""),12861.0)</f>
        <v>12861</v>
      </c>
      <c r="F48" s="68">
        <f>IFERROR(__xludf.DUMMYFUNCTION("""COMPUTED_VALUE"""),12819.0)</f>
        <v>12819</v>
      </c>
      <c r="G48" s="68">
        <f>IFERROR(__xludf.DUMMYFUNCTION("""COMPUTED_VALUE"""),12469.0)</f>
        <v>12469</v>
      </c>
      <c r="H48" s="69"/>
      <c r="I48" s="68">
        <f>IFERROR(__xludf.DUMMYFUNCTION("""COMPUTED_VALUE"""),46492.0)</f>
        <v>46492</v>
      </c>
      <c r="J48" s="68">
        <f>IFERROR(__xludf.DUMMYFUNCTION("""COMPUTED_VALUE"""),16940.0)</f>
        <v>16940</v>
      </c>
      <c r="K48" s="68"/>
      <c r="L48" s="68"/>
      <c r="M48" s="68"/>
      <c r="N48" s="68"/>
      <c r="O48" s="52">
        <f>IFERROR(__xludf.DUMMYFUNCTION("""COMPUTED_VALUE"""),177497.0)</f>
        <v>177497</v>
      </c>
      <c r="P48" s="53">
        <f>IFERROR(__xludf.DUMMYFUNCTION("""COMPUTED_VALUE"""),0.4573922275506812)</f>
        <v>0.4573922276</v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68"/>
      <c r="D49" s="68"/>
      <c r="E49" s="68">
        <f>IFERROR(__xludf.DUMMYFUNCTION("""COMPUTED_VALUE"""),0.0)</f>
        <v>0</v>
      </c>
      <c r="F49" s="68">
        <f>IFERROR(__xludf.DUMMYFUNCTION("""COMPUTED_VALUE"""),0.0)</f>
        <v>0</v>
      </c>
      <c r="G49" s="68">
        <f>IFERROR(__xludf.DUMMYFUNCTION("""COMPUTED_VALUE"""),0.0)</f>
        <v>0</v>
      </c>
      <c r="H49" s="69"/>
      <c r="I49" s="68">
        <f>IFERROR(__xludf.DUMMYFUNCTION("""COMPUTED_VALUE"""),0.0)</f>
        <v>0</v>
      </c>
      <c r="J49" s="68">
        <f>IFERROR(__xludf.DUMMYFUNCTION("""COMPUTED_VALUE"""),0.0)</f>
        <v>0</v>
      </c>
      <c r="K49" s="68"/>
      <c r="L49" s="68"/>
      <c r="M49" s="68"/>
      <c r="N49" s="68"/>
      <c r="O49" s="52">
        <f>IFERROR(__xludf.DUMMYFUNCTION("""COMPUTED_VALUE"""),0.0)</f>
        <v>0</v>
      </c>
      <c r="P49" s="53">
        <f>IFERROR(__xludf.DUMMYFUNCTION("""COMPUTED_VALUE"""),0.0)</f>
        <v>0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62"/>
      <c r="D50" s="62"/>
      <c r="E50" s="62">
        <f>IFERROR(__xludf.DUMMYFUNCTION("""COMPUTED_VALUE"""),0.0)</f>
        <v>0</v>
      </c>
      <c r="F50" s="62">
        <f>IFERROR(__xludf.DUMMYFUNCTION("""COMPUTED_VALUE"""),0.0)</f>
        <v>0</v>
      </c>
      <c r="G50" s="62">
        <f>IFERROR(__xludf.DUMMYFUNCTION("""COMPUTED_VALUE"""),0.0)</f>
        <v>0</v>
      </c>
      <c r="H50" s="24"/>
      <c r="I50" s="62">
        <f>IFERROR(__xludf.DUMMYFUNCTION("""COMPUTED_VALUE"""),0.0)</f>
        <v>0</v>
      </c>
      <c r="J50" s="62">
        <f>IFERROR(__xludf.DUMMYFUNCTION("""COMPUTED_VALUE"""),0.0)</f>
        <v>0</v>
      </c>
      <c r="K50" s="62"/>
      <c r="L50" s="62"/>
      <c r="M50" s="62"/>
      <c r="N50" s="62"/>
      <c r="O50" s="46">
        <f>IFERROR(__xludf.DUMMYFUNCTION("""COMPUTED_VALUE"""),0.0)</f>
        <v>0</v>
      </c>
      <c r="P50" s="47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IFERROR(__xludf.DUMMYFUNCTION("""COMPUTED_VALUE"""),73075.0)</f>
        <v>73075</v>
      </c>
      <c r="C51" s="62">
        <f>IFERROR(__xludf.DUMMYFUNCTION("""COMPUTED_VALUE"""),49847.0)</f>
        <v>49847</v>
      </c>
      <c r="D51" s="62">
        <f>IFERROR(__xludf.DUMMYFUNCTION("""COMPUTED_VALUE"""),83089.0)</f>
        <v>83089</v>
      </c>
      <c r="E51" s="62">
        <f>IFERROR(__xludf.DUMMYFUNCTION("""COMPUTED_VALUE"""),153101.0)</f>
        <v>153101</v>
      </c>
      <c r="F51" s="62">
        <f>IFERROR(__xludf.DUMMYFUNCTION("""COMPUTED_VALUE"""),272134.0)</f>
        <v>272134</v>
      </c>
      <c r="G51" s="62">
        <f>IFERROR(__xludf.DUMMYFUNCTION("""COMPUTED_VALUE"""),41635.0)</f>
        <v>41635</v>
      </c>
      <c r="H51" s="24"/>
      <c r="I51" s="62">
        <f>IFERROR(__xludf.DUMMYFUNCTION("""COMPUTED_VALUE"""),265376.0)</f>
        <v>265376</v>
      </c>
      <c r="J51" s="62">
        <f>IFERROR(__xludf.DUMMYFUNCTION("""COMPUTED_VALUE"""),123955.0)</f>
        <v>123955</v>
      </c>
      <c r="K51" s="62"/>
      <c r="L51" s="62"/>
      <c r="M51" s="62"/>
      <c r="N51" s="62"/>
      <c r="O51" s="46">
        <f>IFERROR(__xludf.DUMMYFUNCTION("""COMPUTED_VALUE"""),1062212.0)</f>
        <v>1062212</v>
      </c>
      <c r="P51" s="47">
        <f>IFERROR(__xludf.DUMMYFUNCTION("""COMPUTED_VALUE"""),0.03900945781869831)</f>
        <v>0.03900945782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IFERROR(__xludf.DUMMYFUNCTION("""COMPUTED_VALUE"""),400.0)</f>
        <v>400</v>
      </c>
      <c r="C52" s="46">
        <f>IFERROR(__xludf.DUMMYFUNCTION("""COMPUTED_VALUE"""),55400.0)</f>
        <v>55400</v>
      </c>
      <c r="D52" s="46">
        <f>IFERROR(__xludf.DUMMYFUNCTION("""COMPUTED_VALUE"""),6520.0)</f>
        <v>6520</v>
      </c>
      <c r="E52" s="46">
        <f>IFERROR(__xludf.DUMMYFUNCTION("""COMPUTED_VALUE"""),6640.0)</f>
        <v>6640</v>
      </c>
      <c r="F52" s="46">
        <f>IFERROR(__xludf.DUMMYFUNCTION("""COMPUTED_VALUE"""),134320.0)</f>
        <v>134320</v>
      </c>
      <c r="G52" s="46">
        <f>IFERROR(__xludf.DUMMYFUNCTION("""COMPUTED_VALUE"""),88540.0)</f>
        <v>88540</v>
      </c>
      <c r="H52" s="46">
        <f>IFERROR(__xludf.DUMMYFUNCTION("""COMPUTED_VALUE"""),0.0)</f>
        <v>0</v>
      </c>
      <c r="I52" s="46">
        <f>IFERROR(__xludf.DUMMYFUNCTION("""COMPUTED_VALUE"""),410.0)</f>
        <v>410</v>
      </c>
      <c r="J52" s="46">
        <f>IFERROR(__xludf.DUMMYFUNCTION("""COMPUTED_VALUE"""),1780.0)</f>
        <v>1780</v>
      </c>
      <c r="K52" s="46">
        <f>IFERROR(__xludf.DUMMYFUNCTION("""COMPUTED_VALUE"""),0.0)</f>
        <v>0</v>
      </c>
      <c r="L52" s="46">
        <f>IFERROR(__xludf.DUMMYFUNCTION("""COMPUTED_VALUE"""),0.0)</f>
        <v>0</v>
      </c>
      <c r="M52" s="46">
        <f>IFERROR(__xludf.DUMMYFUNCTION("""COMPUTED_VALUE"""),0.0)</f>
        <v>0</v>
      </c>
      <c r="N52" s="46">
        <f>IFERROR(__xludf.DUMMYFUNCTION("""COMPUTED_VALUE"""),0.0)</f>
        <v>0</v>
      </c>
      <c r="O52" s="46">
        <f>IFERROR(__xludf.DUMMYFUNCTION("""COMPUTED_VALUE"""),294010.0)</f>
        <v>294010</v>
      </c>
      <c r="P52" s="47">
        <f>IFERROR(__xludf.DUMMYFUNCTION("""COMPUTED_VALUE"""),0.010797440335145422)</f>
        <v>0.01079744034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68"/>
      <c r="D53" s="68"/>
      <c r="E53" s="68">
        <f>IFERROR(__xludf.DUMMYFUNCTION("""COMPUTED_VALUE"""),0.0)</f>
        <v>0</v>
      </c>
      <c r="F53" s="68">
        <f>IFERROR(__xludf.DUMMYFUNCTION("""COMPUTED_VALUE"""),0.0)</f>
        <v>0</v>
      </c>
      <c r="G53" s="68">
        <f>IFERROR(__xludf.DUMMYFUNCTION("""COMPUTED_VALUE"""),0.0)</f>
        <v>0</v>
      </c>
      <c r="H53" s="69"/>
      <c r="I53" s="68">
        <f>IFERROR(__xludf.DUMMYFUNCTION("""COMPUTED_VALUE"""),0.0)</f>
        <v>0</v>
      </c>
      <c r="J53" s="68">
        <f>IFERROR(__xludf.DUMMYFUNCTION("""COMPUTED_VALUE"""),0.0)</f>
        <v>0</v>
      </c>
      <c r="K53" s="68"/>
      <c r="L53" s="68"/>
      <c r="M53" s="68"/>
      <c r="N53" s="68"/>
      <c r="O53" s="52">
        <f>IFERROR(__xludf.DUMMYFUNCTION("""COMPUTED_VALUE"""),0.0)</f>
        <v>0</v>
      </c>
      <c r="P53" s="53">
        <f>IFERROR(__xludf.DUMMYFUNCTION("""COMPUTED_VALUE"""),0.0)</f>
        <v>0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68"/>
      <c r="D54" s="68"/>
      <c r="E54" s="68">
        <f>IFERROR(__xludf.DUMMYFUNCTION("""COMPUTED_VALUE"""),0.0)</f>
        <v>0</v>
      </c>
      <c r="F54" s="68">
        <f>IFERROR(__xludf.DUMMYFUNCTION("""COMPUTED_VALUE"""),0.0)</f>
        <v>0</v>
      </c>
      <c r="G54" s="68">
        <f>IFERROR(__xludf.DUMMYFUNCTION("""COMPUTED_VALUE"""),0.0)</f>
        <v>0</v>
      </c>
      <c r="H54" s="69"/>
      <c r="I54" s="68">
        <f>IFERROR(__xludf.DUMMYFUNCTION("""COMPUTED_VALUE"""),0.0)</f>
        <v>0</v>
      </c>
      <c r="J54" s="68">
        <f>IFERROR(__xludf.DUMMYFUNCTION("""COMPUTED_VALUE"""),0.0)</f>
        <v>0</v>
      </c>
      <c r="K54" s="68"/>
      <c r="L54" s="68"/>
      <c r="M54" s="68"/>
      <c r="N54" s="68"/>
      <c r="O54" s="52">
        <f>IFERROR(__xludf.DUMMYFUNCTION("""COMPUTED_VALUE"""),0.0)</f>
        <v>0</v>
      </c>
      <c r="P54" s="53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68"/>
      <c r="D55" s="68"/>
      <c r="E55" s="68">
        <f>IFERROR(__xludf.DUMMYFUNCTION("""COMPUTED_VALUE"""),0.0)</f>
        <v>0</v>
      </c>
      <c r="F55" s="68">
        <f>IFERROR(__xludf.DUMMYFUNCTION("""COMPUTED_VALUE"""),0.0)</f>
        <v>0</v>
      </c>
      <c r="G55" s="68">
        <f>IFERROR(__xludf.DUMMYFUNCTION("""COMPUTED_VALUE"""),0.0)</f>
        <v>0</v>
      </c>
      <c r="H55" s="69"/>
      <c r="I55" s="68">
        <f>IFERROR(__xludf.DUMMYFUNCTION("""COMPUTED_VALUE"""),0.0)</f>
        <v>0</v>
      </c>
      <c r="J55" s="68">
        <f>IFERROR(__xludf.DUMMYFUNCTION("""COMPUTED_VALUE"""),0.0)</f>
        <v>0</v>
      </c>
      <c r="K55" s="68"/>
      <c r="L55" s="68"/>
      <c r="M55" s="68"/>
      <c r="N55" s="68"/>
      <c r="O55" s="52">
        <f>IFERROR(__xludf.DUMMYFUNCTION("""COMPUTED_VALUE"""),0.0)</f>
        <v>0</v>
      </c>
      <c r="P55" s="53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68"/>
      <c r="D56" s="68"/>
      <c r="E56" s="68">
        <f>IFERROR(__xludf.DUMMYFUNCTION("""COMPUTED_VALUE"""),0.0)</f>
        <v>0</v>
      </c>
      <c r="F56" s="68">
        <f>IFERROR(__xludf.DUMMYFUNCTION("""COMPUTED_VALUE"""),0.0)</f>
        <v>0</v>
      </c>
      <c r="G56" s="68">
        <f>IFERROR(__xludf.DUMMYFUNCTION("""COMPUTED_VALUE"""),0.0)</f>
        <v>0</v>
      </c>
      <c r="H56" s="69"/>
      <c r="I56" s="68">
        <f>IFERROR(__xludf.DUMMYFUNCTION("""COMPUTED_VALUE"""),0.0)</f>
        <v>0</v>
      </c>
      <c r="J56" s="68">
        <f>IFERROR(__xludf.DUMMYFUNCTION("""COMPUTED_VALUE"""),0.0)</f>
        <v>0</v>
      </c>
      <c r="K56" s="68"/>
      <c r="L56" s="68"/>
      <c r="M56" s="68"/>
      <c r="N56" s="68"/>
      <c r="O56" s="52">
        <f>IFERROR(__xludf.DUMMYFUNCTION("""COMPUTED_VALUE"""),0.0)</f>
        <v>0</v>
      </c>
      <c r="P56" s="53">
        <f>IFERROR(__xludf.DUMMYFUNCTION("""COMPUTED_VALUE"""),0.0)</f>
        <v>0</v>
      </c>
      <c r="Q56" s="16"/>
    </row>
    <row r="57" ht="15.75" customHeight="1">
      <c r="A57" s="51" t="str">
        <f>IFERROR(__xludf.DUMMYFUNCTION("""COMPUTED_VALUE"""),"印刷関連")</f>
        <v>印刷関連</v>
      </c>
      <c r="B57" s="67">
        <f>IFERROR(__xludf.DUMMYFUNCTION("""COMPUTED_VALUE"""),400.0)</f>
        <v>400</v>
      </c>
      <c r="C57" s="68">
        <f>IFERROR(__xludf.DUMMYFUNCTION("""COMPUTED_VALUE"""),400.0)</f>
        <v>400</v>
      </c>
      <c r="D57" s="68">
        <f>IFERROR(__xludf.DUMMYFUNCTION("""COMPUTED_VALUE"""),3220.0)</f>
        <v>3220</v>
      </c>
      <c r="E57" s="68">
        <f>IFERROR(__xludf.DUMMYFUNCTION("""COMPUTED_VALUE"""),3340.0)</f>
        <v>3340</v>
      </c>
      <c r="F57" s="68">
        <f>IFERROR(__xludf.DUMMYFUNCTION("""COMPUTED_VALUE"""),1560.0)</f>
        <v>1560</v>
      </c>
      <c r="G57" s="68">
        <f>IFERROR(__xludf.DUMMYFUNCTION("""COMPUTED_VALUE"""),540.0)</f>
        <v>540</v>
      </c>
      <c r="H57" s="69"/>
      <c r="I57" s="68">
        <f>IFERROR(__xludf.DUMMYFUNCTION("""COMPUTED_VALUE"""),410.0)</f>
        <v>410</v>
      </c>
      <c r="J57" s="68">
        <f>IFERROR(__xludf.DUMMYFUNCTION("""COMPUTED_VALUE"""),1780.0)</f>
        <v>1780</v>
      </c>
      <c r="K57" s="68"/>
      <c r="L57" s="68"/>
      <c r="M57" s="68"/>
      <c r="N57" s="68"/>
      <c r="O57" s="52">
        <f>IFERROR(__xludf.DUMMYFUNCTION("""COMPUTED_VALUE"""),11650.0)</f>
        <v>11650</v>
      </c>
      <c r="P57" s="53">
        <f>IFERROR(__xludf.DUMMYFUNCTION("""COMPUTED_VALUE"""),0.03962450256793987)</f>
        <v>0.03962450257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68"/>
      <c r="D58" s="68"/>
      <c r="E58" s="68">
        <f>IFERROR(__xludf.DUMMYFUNCTION("""COMPUTED_VALUE"""),0.0)</f>
        <v>0</v>
      </c>
      <c r="F58" s="68">
        <f>IFERROR(__xludf.DUMMYFUNCTION("""COMPUTED_VALUE"""),0.0)</f>
        <v>0</v>
      </c>
      <c r="G58" s="68">
        <f>IFERROR(__xludf.DUMMYFUNCTION("""COMPUTED_VALUE"""),0.0)</f>
        <v>0</v>
      </c>
      <c r="H58" s="69"/>
      <c r="I58" s="68">
        <f>IFERROR(__xludf.DUMMYFUNCTION("""COMPUTED_VALUE"""),0.0)</f>
        <v>0</v>
      </c>
      <c r="J58" s="68">
        <f>IFERROR(__xludf.DUMMYFUNCTION("""COMPUTED_VALUE"""),0.0)</f>
        <v>0</v>
      </c>
      <c r="K58" s="68"/>
      <c r="L58" s="68"/>
      <c r="M58" s="68"/>
      <c r="N58" s="68"/>
      <c r="O58" s="52">
        <f>IFERROR(__xludf.DUMMYFUNCTION("""COMPUTED_VALUE"""),0.0)</f>
        <v>0</v>
      </c>
      <c r="P58" s="53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70"/>
      <c r="C59" s="68">
        <f>IFERROR(__xludf.DUMMYFUNCTION("""COMPUTED_VALUE"""),55000.0)</f>
        <v>55000</v>
      </c>
      <c r="D59" s="68">
        <f>IFERROR(__xludf.DUMMYFUNCTION("""COMPUTED_VALUE"""),3300.0)</f>
        <v>3300</v>
      </c>
      <c r="E59" s="68">
        <f>IFERROR(__xludf.DUMMYFUNCTION("""COMPUTED_VALUE"""),3300.0)</f>
        <v>3300</v>
      </c>
      <c r="F59" s="68">
        <f>IFERROR(__xludf.DUMMYFUNCTION("""COMPUTED_VALUE"""),3300.0)</f>
        <v>3300</v>
      </c>
      <c r="G59" s="68">
        <f>IFERROR(__xludf.DUMMYFUNCTION("""COMPUTED_VALUE"""),88000.0)</f>
        <v>88000</v>
      </c>
      <c r="H59" s="69"/>
      <c r="I59" s="68">
        <f>IFERROR(__xludf.DUMMYFUNCTION("""COMPUTED_VALUE"""),0.0)</f>
        <v>0</v>
      </c>
      <c r="J59" s="68">
        <f>IFERROR(__xludf.DUMMYFUNCTION("""COMPUTED_VALUE"""),0.0)</f>
        <v>0</v>
      </c>
      <c r="K59" s="68"/>
      <c r="L59" s="68"/>
      <c r="M59" s="68"/>
      <c r="N59" s="68"/>
      <c r="O59" s="52">
        <f>IFERROR(__xludf.DUMMYFUNCTION("""COMPUTED_VALUE"""),152900.0)</f>
        <v>152900</v>
      </c>
      <c r="P59" s="53">
        <f>IFERROR(__xludf.DUMMYFUNCTION("""COMPUTED_VALUE"""),0.5200503384238632)</f>
        <v>0.5200503384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68"/>
      <c r="D60" s="68"/>
      <c r="E60" s="68">
        <f>IFERROR(__xludf.DUMMYFUNCTION("""COMPUTED_VALUE"""),0.0)</f>
        <v>0</v>
      </c>
      <c r="F60" s="68">
        <f>IFERROR(__xludf.DUMMYFUNCTION("""COMPUTED_VALUE"""),129460.0)</f>
        <v>129460</v>
      </c>
      <c r="G60" s="68">
        <f>IFERROR(__xludf.DUMMYFUNCTION("""COMPUTED_VALUE"""),0.0)</f>
        <v>0</v>
      </c>
      <c r="H60" s="69"/>
      <c r="I60" s="68">
        <f>IFERROR(__xludf.DUMMYFUNCTION("""COMPUTED_VALUE"""),0.0)</f>
        <v>0</v>
      </c>
      <c r="J60" s="68">
        <f>IFERROR(__xludf.DUMMYFUNCTION("""COMPUTED_VALUE"""),0.0)</f>
        <v>0</v>
      </c>
      <c r="K60" s="68"/>
      <c r="L60" s="68"/>
      <c r="M60" s="68"/>
      <c r="N60" s="68"/>
      <c r="O60" s="52">
        <f>IFERROR(__xludf.DUMMYFUNCTION("""COMPUTED_VALUE"""),129460.0)</f>
        <v>129460</v>
      </c>
      <c r="P60" s="53">
        <f>IFERROR(__xludf.DUMMYFUNCTION("""COMPUTED_VALUE"""),0.440325159008197)</f>
        <v>0.440325159</v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62"/>
      <c r="D61" s="62"/>
      <c r="E61" s="62">
        <f>IFERROR(__xludf.DUMMYFUNCTION("""COMPUTED_VALUE"""),5800.0)</f>
        <v>5800</v>
      </c>
      <c r="F61" s="62">
        <f>IFERROR(__xludf.DUMMYFUNCTION("""COMPUTED_VALUE"""),0.0)</f>
        <v>0</v>
      </c>
      <c r="G61" s="62">
        <f>IFERROR(__xludf.DUMMYFUNCTION("""COMPUTED_VALUE"""),0.0)</f>
        <v>0</v>
      </c>
      <c r="H61" s="24"/>
      <c r="I61" s="62">
        <f>IFERROR(__xludf.DUMMYFUNCTION("""COMPUTED_VALUE"""),0.0)</f>
        <v>0</v>
      </c>
      <c r="J61" s="62">
        <f>IFERROR(__xludf.DUMMYFUNCTION("""COMPUTED_VALUE"""),0.0)</f>
        <v>0</v>
      </c>
      <c r="K61" s="62"/>
      <c r="L61" s="62"/>
      <c r="M61" s="62"/>
      <c r="N61" s="62"/>
      <c r="O61" s="46">
        <f>IFERROR(__xludf.DUMMYFUNCTION("""COMPUTED_VALUE"""),5800.0)</f>
        <v>5800</v>
      </c>
      <c r="P61" s="47">
        <f>IFERROR(__xludf.DUMMYFUNCTION("""COMPUTED_VALUE"""),2.1300348268372997E-4)</f>
        <v>0.0002130034827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62"/>
      <c r="D62" s="62"/>
      <c r="E62" s="62">
        <f>IFERROR(__xludf.DUMMYFUNCTION("""COMPUTED_VALUE"""),0.0)</f>
        <v>0</v>
      </c>
      <c r="F62" s="62">
        <f>IFERROR(__xludf.DUMMYFUNCTION("""COMPUTED_VALUE"""),3456.0)</f>
        <v>3456</v>
      </c>
      <c r="G62" s="62">
        <f>IFERROR(__xludf.DUMMYFUNCTION("""COMPUTED_VALUE"""),0.0)</f>
        <v>0</v>
      </c>
      <c r="H62" s="24"/>
      <c r="I62" s="62">
        <f>IFERROR(__xludf.DUMMYFUNCTION("""COMPUTED_VALUE"""),0.0)</f>
        <v>0</v>
      </c>
      <c r="J62" s="62">
        <f>IFERROR(__xludf.DUMMYFUNCTION("""COMPUTED_VALUE"""),0.0)</f>
        <v>0</v>
      </c>
      <c r="K62" s="62"/>
      <c r="L62" s="62"/>
      <c r="M62" s="62"/>
      <c r="N62" s="62"/>
      <c r="O62" s="46">
        <f>IFERROR(__xludf.DUMMYFUNCTION("""COMPUTED_VALUE"""),3456.0)</f>
        <v>3456</v>
      </c>
      <c r="P62" s="47">
        <f>IFERROR(__xludf.DUMMYFUNCTION("""COMPUTED_VALUE"""),1.2692069588878807E-4)</f>
        <v>0.0001269206959</v>
      </c>
      <c r="Q62" s="16"/>
    </row>
    <row r="63" ht="15.75" customHeight="1">
      <c r="A63" s="48" t="str">
        <f>IFERROR(__xludf.DUMMYFUNCTION("""COMPUTED_VALUE"""),"会議費")</f>
        <v>会議費</v>
      </c>
      <c r="B63" s="70"/>
      <c r="C63" s="62">
        <f>IFERROR(__xludf.DUMMYFUNCTION("""COMPUTED_VALUE"""),4497.0)</f>
        <v>4497</v>
      </c>
      <c r="D63" s="62">
        <f>IFERROR(__xludf.DUMMYFUNCTION("""COMPUTED_VALUE"""),345.0)</f>
        <v>345</v>
      </c>
      <c r="E63" s="62">
        <f>IFERROR(__xludf.DUMMYFUNCTION("""COMPUTED_VALUE"""),1979.0)</f>
        <v>1979</v>
      </c>
      <c r="F63" s="62">
        <f>IFERROR(__xludf.DUMMYFUNCTION("""COMPUTED_VALUE"""),3449.0)</f>
        <v>3449</v>
      </c>
      <c r="G63" s="62">
        <f>IFERROR(__xludf.DUMMYFUNCTION("""COMPUTED_VALUE"""),2405.0)</f>
        <v>2405</v>
      </c>
      <c r="H63" s="24"/>
      <c r="I63" s="62">
        <f>IFERROR(__xludf.DUMMYFUNCTION("""COMPUTED_VALUE"""),2016.0)</f>
        <v>2016</v>
      </c>
      <c r="J63" s="62">
        <f>IFERROR(__xludf.DUMMYFUNCTION("""COMPUTED_VALUE"""),13160.0)</f>
        <v>13160</v>
      </c>
      <c r="K63" s="62"/>
      <c r="L63" s="62"/>
      <c r="M63" s="62"/>
      <c r="N63" s="62"/>
      <c r="O63" s="46">
        <f>IFERROR(__xludf.DUMMYFUNCTION("""COMPUTED_VALUE"""),27851.0)</f>
        <v>27851</v>
      </c>
      <c r="P63" s="47">
        <f>IFERROR(__xludf.DUMMYFUNCTION("""COMPUTED_VALUE"""),0.001022820689004235)</f>
        <v>0.001022820689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62"/>
      <c r="D64" s="62"/>
      <c r="E64" s="62">
        <f>IFERROR(__xludf.DUMMYFUNCTION("""COMPUTED_VALUE"""),0.0)</f>
        <v>0</v>
      </c>
      <c r="F64" s="62">
        <f>IFERROR(__xludf.DUMMYFUNCTION("""COMPUTED_VALUE"""),0.0)</f>
        <v>0</v>
      </c>
      <c r="G64" s="62">
        <f>IFERROR(__xludf.DUMMYFUNCTION("""COMPUTED_VALUE"""),0.0)</f>
        <v>0</v>
      </c>
      <c r="H64" s="24"/>
      <c r="I64" s="62">
        <f>IFERROR(__xludf.DUMMYFUNCTION("""COMPUTED_VALUE"""),0.0)</f>
        <v>0</v>
      </c>
      <c r="J64" s="62">
        <f>IFERROR(__xludf.DUMMYFUNCTION("""COMPUTED_VALUE"""),0.0)</f>
        <v>0</v>
      </c>
      <c r="K64" s="62"/>
      <c r="L64" s="62"/>
      <c r="M64" s="62"/>
      <c r="N64" s="62"/>
      <c r="O64" s="46">
        <f>IFERROR(__xludf.DUMMYFUNCTION("""COMPUTED_VALUE"""),0.0)</f>
        <v>0</v>
      </c>
      <c r="P64" s="47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IFERROR(__xludf.DUMMYFUNCTION("""COMPUTED_VALUE"""),902.0)</f>
        <v>902</v>
      </c>
      <c r="C65" s="62"/>
      <c r="D65" s="62">
        <f>IFERROR(__xludf.DUMMYFUNCTION("""COMPUTED_VALUE"""),2524.0)</f>
        <v>2524</v>
      </c>
      <c r="E65" s="62">
        <f>IFERROR(__xludf.DUMMYFUNCTION("""COMPUTED_VALUE"""),8423.0)</f>
        <v>8423</v>
      </c>
      <c r="F65" s="62">
        <f>IFERROR(__xludf.DUMMYFUNCTION("""COMPUTED_VALUE"""),11536.0)</f>
        <v>11536</v>
      </c>
      <c r="G65" s="62">
        <f>IFERROR(__xludf.DUMMYFUNCTION("""COMPUTED_VALUE"""),4095.0)</f>
        <v>4095</v>
      </c>
      <c r="H65" s="24"/>
      <c r="I65" s="62">
        <f>IFERROR(__xludf.DUMMYFUNCTION("""COMPUTED_VALUE"""),13050.0)</f>
        <v>13050</v>
      </c>
      <c r="J65" s="62">
        <f>IFERROR(__xludf.DUMMYFUNCTION("""COMPUTED_VALUE"""),0.0)</f>
        <v>0</v>
      </c>
      <c r="K65" s="62"/>
      <c r="L65" s="62"/>
      <c r="M65" s="62"/>
      <c r="N65" s="62"/>
      <c r="O65" s="46">
        <f>IFERROR(__xludf.DUMMYFUNCTION("""COMPUTED_VALUE"""),40530.0)</f>
        <v>40530</v>
      </c>
      <c r="P65" s="47">
        <f>IFERROR(__xludf.DUMMYFUNCTION("""COMPUTED_VALUE"""),0.0014884536470985475)</f>
        <v>0.001488453647</v>
      </c>
      <c r="Q65" s="16"/>
    </row>
    <row r="66" ht="15.75" customHeight="1">
      <c r="A66" s="48" t="str">
        <f>IFERROR(__xludf.DUMMYFUNCTION("""COMPUTED_VALUE"""),"新聞図書費")</f>
        <v>新聞図書費</v>
      </c>
      <c r="B66" s="70"/>
      <c r="C66" s="62"/>
      <c r="D66" s="62"/>
      <c r="E66" s="62">
        <f>IFERROR(__xludf.DUMMYFUNCTION("""COMPUTED_VALUE"""),0.0)</f>
        <v>0</v>
      </c>
      <c r="F66" s="62">
        <f>IFERROR(__xludf.DUMMYFUNCTION("""COMPUTED_VALUE"""),0.0)</f>
        <v>0</v>
      </c>
      <c r="G66" s="62">
        <f>IFERROR(__xludf.DUMMYFUNCTION("""COMPUTED_VALUE"""),0.0)</f>
        <v>0</v>
      </c>
      <c r="H66" s="24"/>
      <c r="I66" s="62">
        <f>IFERROR(__xludf.DUMMYFUNCTION("""COMPUTED_VALUE"""),0.0)</f>
        <v>0</v>
      </c>
      <c r="J66" s="62">
        <f>IFERROR(__xludf.DUMMYFUNCTION("""COMPUTED_VALUE"""),0.0)</f>
        <v>0</v>
      </c>
      <c r="K66" s="62"/>
      <c r="L66" s="62"/>
      <c r="M66" s="62"/>
      <c r="N66" s="62"/>
      <c r="O66" s="46">
        <f>IFERROR(__xludf.DUMMYFUNCTION("""COMPUTED_VALUE"""),0.0)</f>
        <v>0</v>
      </c>
      <c r="P66" s="47">
        <f>IFERROR(__xludf.DUMMYFUNCTION("""COMPUTED_VALUE"""),0.0)</f>
        <v>0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62"/>
      <c r="D67" s="62"/>
      <c r="E67" s="62">
        <f>IFERROR(__xludf.DUMMYFUNCTION("""COMPUTED_VALUE"""),0.0)</f>
        <v>0</v>
      </c>
      <c r="F67" s="62">
        <f>IFERROR(__xludf.DUMMYFUNCTION("""COMPUTED_VALUE"""),80100.0)</f>
        <v>80100</v>
      </c>
      <c r="G67" s="62">
        <f>IFERROR(__xludf.DUMMYFUNCTION("""COMPUTED_VALUE"""),0.0)</f>
        <v>0</v>
      </c>
      <c r="H67" s="24"/>
      <c r="I67" s="62">
        <f>IFERROR(__xludf.DUMMYFUNCTION("""COMPUTED_VALUE"""),0.0)</f>
        <v>0</v>
      </c>
      <c r="J67" s="62">
        <f>IFERROR(__xludf.DUMMYFUNCTION("""COMPUTED_VALUE"""),0.0)</f>
        <v>0</v>
      </c>
      <c r="K67" s="62"/>
      <c r="L67" s="62"/>
      <c r="M67" s="62"/>
      <c r="N67" s="62"/>
      <c r="O67" s="46">
        <f>IFERROR(__xludf.DUMMYFUNCTION("""COMPUTED_VALUE"""),80100.0)</f>
        <v>80100</v>
      </c>
      <c r="P67" s="47">
        <f>IFERROR(__xludf.DUMMYFUNCTION("""COMPUTED_VALUE"""),0.0029416515453390985)</f>
        <v>0.002941651545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62"/>
      <c r="D68" s="62"/>
      <c r="E68" s="62">
        <f>IFERROR(__xludf.DUMMYFUNCTION("""COMPUTED_VALUE"""),0.0)</f>
        <v>0</v>
      </c>
      <c r="F68" s="62">
        <f>IFERROR(__xludf.DUMMYFUNCTION("""COMPUTED_VALUE"""),0.0)</f>
        <v>0</v>
      </c>
      <c r="G68" s="62">
        <f>IFERROR(__xludf.DUMMYFUNCTION("""COMPUTED_VALUE"""),0.0)</f>
        <v>0</v>
      </c>
      <c r="H68" s="24"/>
      <c r="I68" s="62">
        <f>IFERROR(__xludf.DUMMYFUNCTION("""COMPUTED_VALUE"""),0.0)</f>
        <v>0</v>
      </c>
      <c r="J68" s="62">
        <f>IFERROR(__xludf.DUMMYFUNCTION("""COMPUTED_VALUE"""),0.0)</f>
        <v>0</v>
      </c>
      <c r="K68" s="62"/>
      <c r="L68" s="62"/>
      <c r="M68" s="62"/>
      <c r="N68" s="62"/>
      <c r="O68" s="46">
        <f>IFERROR(__xludf.DUMMYFUNCTION("""COMPUTED_VALUE"""),0.0)</f>
        <v>0</v>
      </c>
      <c r="P68" s="47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62"/>
      <c r="D69" s="62"/>
      <c r="E69" s="62">
        <f>IFERROR(__xludf.DUMMYFUNCTION("""COMPUTED_VALUE"""),0.0)</f>
        <v>0</v>
      </c>
      <c r="F69" s="62">
        <f>IFERROR(__xludf.DUMMYFUNCTION("""COMPUTED_VALUE"""),0.0)</f>
        <v>0</v>
      </c>
      <c r="G69" s="62">
        <f>IFERROR(__xludf.DUMMYFUNCTION("""COMPUTED_VALUE"""),0.0)</f>
        <v>0</v>
      </c>
      <c r="H69" s="24"/>
      <c r="I69" s="62">
        <f>IFERROR(__xludf.DUMMYFUNCTION("""COMPUTED_VALUE"""),0.0)</f>
        <v>0</v>
      </c>
      <c r="J69" s="62">
        <f>IFERROR(__xludf.DUMMYFUNCTION("""COMPUTED_VALUE"""),0.0)</f>
        <v>0</v>
      </c>
      <c r="K69" s="62"/>
      <c r="L69" s="62"/>
      <c r="M69" s="62"/>
      <c r="N69" s="62"/>
      <c r="O69" s="46">
        <f>IFERROR(__xludf.DUMMYFUNCTION("""COMPUTED_VALUE"""),0.0)</f>
        <v>0</v>
      </c>
      <c r="P69" s="47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62"/>
      <c r="D70" s="62"/>
      <c r="E70" s="62">
        <f>IFERROR(__xludf.DUMMYFUNCTION("""COMPUTED_VALUE"""),0.0)</f>
        <v>0</v>
      </c>
      <c r="F70" s="62">
        <f>IFERROR(__xludf.DUMMYFUNCTION("""COMPUTED_VALUE"""),0.0)</f>
        <v>0</v>
      </c>
      <c r="G70" s="62">
        <f>IFERROR(__xludf.DUMMYFUNCTION("""COMPUTED_VALUE"""),0.0)</f>
        <v>0</v>
      </c>
      <c r="H70" s="24"/>
      <c r="I70" s="62">
        <f>IFERROR(__xludf.DUMMYFUNCTION("""COMPUTED_VALUE"""),0.0)</f>
        <v>0</v>
      </c>
      <c r="J70" s="62">
        <f>IFERROR(__xludf.DUMMYFUNCTION("""COMPUTED_VALUE"""),0.0)</f>
        <v>0</v>
      </c>
      <c r="K70" s="62"/>
      <c r="L70" s="62"/>
      <c r="M70" s="62"/>
      <c r="N70" s="62"/>
      <c r="O70" s="46">
        <f>IFERROR(__xludf.DUMMYFUNCTION("""COMPUTED_VALUE"""),0.0)</f>
        <v>0</v>
      </c>
      <c r="P70" s="47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62"/>
      <c r="D71" s="62"/>
      <c r="E71" s="62">
        <f>IFERROR(__xludf.DUMMYFUNCTION("""COMPUTED_VALUE"""),0.0)</f>
        <v>0</v>
      </c>
      <c r="F71" s="62">
        <f>IFERROR(__xludf.DUMMYFUNCTION("""COMPUTED_VALUE"""),0.0)</f>
        <v>0</v>
      </c>
      <c r="G71" s="62">
        <f>IFERROR(__xludf.DUMMYFUNCTION("""COMPUTED_VALUE"""),0.0)</f>
        <v>0</v>
      </c>
      <c r="H71" s="24"/>
      <c r="I71" s="62">
        <f>IFERROR(__xludf.DUMMYFUNCTION("""COMPUTED_VALUE"""),0.0)</f>
        <v>0</v>
      </c>
      <c r="J71" s="62">
        <f>IFERROR(__xludf.DUMMYFUNCTION("""COMPUTED_VALUE"""),0.0)</f>
        <v>0</v>
      </c>
      <c r="K71" s="62"/>
      <c r="L71" s="62"/>
      <c r="M71" s="62"/>
      <c r="N71" s="62"/>
      <c r="O71" s="46">
        <f>IFERROR(__xludf.DUMMYFUNCTION("""COMPUTED_VALUE"""),0.0)</f>
        <v>0</v>
      </c>
      <c r="P71" s="47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62"/>
      <c r="D72" s="62"/>
      <c r="E72" s="62">
        <f>IFERROR(__xludf.DUMMYFUNCTION("""COMPUTED_VALUE"""),0.0)</f>
        <v>0</v>
      </c>
      <c r="F72" s="62">
        <f>IFERROR(__xludf.DUMMYFUNCTION("""COMPUTED_VALUE"""),0.0)</f>
        <v>0</v>
      </c>
      <c r="G72" s="62">
        <f>IFERROR(__xludf.DUMMYFUNCTION("""COMPUTED_VALUE"""),0.0)</f>
        <v>0</v>
      </c>
      <c r="H72" s="24"/>
      <c r="I72" s="62">
        <f>IFERROR(__xludf.DUMMYFUNCTION("""COMPUTED_VALUE"""),0.0)</f>
        <v>0</v>
      </c>
      <c r="J72" s="62">
        <f>IFERROR(__xludf.DUMMYFUNCTION("""COMPUTED_VALUE"""),0.0)</f>
        <v>0</v>
      </c>
      <c r="K72" s="62"/>
      <c r="L72" s="62"/>
      <c r="M72" s="62"/>
      <c r="N72" s="62"/>
      <c r="O72" s="46">
        <f>IFERROR(__xludf.DUMMYFUNCTION("""COMPUTED_VALUE"""),0.0)</f>
        <v>0</v>
      </c>
      <c r="P72" s="47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62">
        <f>IFERROR(__xludf.DUMMYFUNCTION("""COMPUTED_VALUE"""),2150.0)</f>
        <v>2150</v>
      </c>
      <c r="D73" s="62"/>
      <c r="E73" s="62">
        <f>IFERROR(__xludf.DUMMYFUNCTION("""COMPUTED_VALUE"""),0.0)</f>
        <v>0</v>
      </c>
      <c r="F73" s="62">
        <f>IFERROR(__xludf.DUMMYFUNCTION("""COMPUTED_VALUE"""),0.0)</f>
        <v>0</v>
      </c>
      <c r="G73" s="62">
        <f>IFERROR(__xludf.DUMMYFUNCTION("""COMPUTED_VALUE"""),0.0)</f>
        <v>0</v>
      </c>
      <c r="H73" s="24"/>
      <c r="I73" s="62">
        <f>IFERROR(__xludf.DUMMYFUNCTION("""COMPUTED_VALUE"""),0.0)</f>
        <v>0</v>
      </c>
      <c r="J73" s="62">
        <f>IFERROR(__xludf.DUMMYFUNCTION("""COMPUTED_VALUE"""),0.0)</f>
        <v>0</v>
      </c>
      <c r="K73" s="62"/>
      <c r="L73" s="62"/>
      <c r="M73" s="62"/>
      <c r="N73" s="62"/>
      <c r="O73" s="46">
        <f>IFERROR(__xludf.DUMMYFUNCTION("""COMPUTED_VALUE"""),2150.0)</f>
        <v>2150</v>
      </c>
      <c r="P73" s="47">
        <f>IFERROR(__xludf.DUMMYFUNCTION("""COMPUTED_VALUE"""),7.895818754655508E-5)</f>
        <v>0.00007895818755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62"/>
      <c r="D74" s="62"/>
      <c r="E74" s="62">
        <f>IFERROR(__xludf.DUMMYFUNCTION("""COMPUTED_VALUE"""),0.0)</f>
        <v>0</v>
      </c>
      <c r="F74" s="62">
        <f>IFERROR(__xludf.DUMMYFUNCTION("""COMPUTED_VALUE"""),0.0)</f>
        <v>0</v>
      </c>
      <c r="G74" s="62">
        <f>IFERROR(__xludf.DUMMYFUNCTION("""COMPUTED_VALUE"""),0.0)</f>
        <v>0</v>
      </c>
      <c r="H74" s="24"/>
      <c r="I74" s="62">
        <f>IFERROR(__xludf.DUMMYFUNCTION("""COMPUTED_VALUE"""),0.0)</f>
        <v>0</v>
      </c>
      <c r="J74" s="62">
        <f>IFERROR(__xludf.DUMMYFUNCTION("""COMPUTED_VALUE"""),0.0)</f>
        <v>0</v>
      </c>
      <c r="K74" s="62"/>
      <c r="L74" s="62"/>
      <c r="M74" s="62"/>
      <c r="N74" s="62"/>
      <c r="O74" s="46">
        <f>IFERROR(__xludf.DUMMYFUNCTION("""COMPUTED_VALUE"""),0.0)</f>
        <v>0</v>
      </c>
      <c r="P74" s="47">
        <f>IFERROR(__xludf.DUMMYFUNCTION("""COMPUTED_VALUE"""),0.0)</f>
        <v>0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62"/>
      <c r="D75" s="62"/>
      <c r="E75" s="62">
        <f>IFERROR(__xludf.DUMMYFUNCTION("""COMPUTED_VALUE"""),0.0)</f>
        <v>0</v>
      </c>
      <c r="F75" s="62">
        <f>IFERROR(__xludf.DUMMYFUNCTION("""COMPUTED_VALUE"""),0.0)</f>
        <v>0</v>
      </c>
      <c r="G75" s="62">
        <f>IFERROR(__xludf.DUMMYFUNCTION("""COMPUTED_VALUE"""),0.0)</f>
        <v>0</v>
      </c>
      <c r="H75" s="24"/>
      <c r="I75" s="62">
        <f>IFERROR(__xludf.DUMMYFUNCTION("""COMPUTED_VALUE"""),0.0)</f>
        <v>0</v>
      </c>
      <c r="J75" s="62">
        <f>IFERROR(__xludf.DUMMYFUNCTION("""COMPUTED_VALUE"""),0.0)</f>
        <v>0</v>
      </c>
      <c r="K75" s="62"/>
      <c r="L75" s="62"/>
      <c r="M75" s="62"/>
      <c r="N75" s="62"/>
      <c r="O75" s="46">
        <f>IFERROR(__xludf.DUMMYFUNCTION("""COMPUTED_VALUE"""),0.0)</f>
        <v>0</v>
      </c>
      <c r="P75" s="47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62"/>
      <c r="D76" s="62"/>
      <c r="E76" s="62">
        <f>IFERROR(__xludf.DUMMYFUNCTION("""COMPUTED_VALUE"""),0.0)</f>
        <v>0</v>
      </c>
      <c r="F76" s="62">
        <f>IFERROR(__xludf.DUMMYFUNCTION("""COMPUTED_VALUE"""),0.0)</f>
        <v>0</v>
      </c>
      <c r="G76" s="62">
        <f>IFERROR(__xludf.DUMMYFUNCTION("""COMPUTED_VALUE"""),0.0)</f>
        <v>0</v>
      </c>
      <c r="H76" s="24"/>
      <c r="I76" s="62">
        <f>IFERROR(__xludf.DUMMYFUNCTION("""COMPUTED_VALUE"""),0.0)</f>
        <v>0</v>
      </c>
      <c r="J76" s="62">
        <f>IFERROR(__xludf.DUMMYFUNCTION("""COMPUTED_VALUE"""),0.0)</f>
        <v>0</v>
      </c>
      <c r="K76" s="62"/>
      <c r="L76" s="62"/>
      <c r="M76" s="62"/>
      <c r="N76" s="62"/>
      <c r="O76" s="46">
        <f>IFERROR(__xludf.DUMMYFUNCTION("""COMPUTED_VALUE"""),0.0)</f>
        <v>0</v>
      </c>
      <c r="P76" s="47">
        <f>IFERROR(__xludf.DUMMYFUNCTION("""COMPUTED_VALUE"""),0.0)</f>
        <v>0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IFERROR(__xludf.DUMMYFUNCTION("""COMPUTED_VALUE"""),2149736.0)</f>
        <v>2149736</v>
      </c>
      <c r="C77" s="46">
        <f>IFERROR(__xludf.DUMMYFUNCTION("""COMPUTED_VALUE"""),2183653.0)</f>
        <v>2183653</v>
      </c>
      <c r="D77" s="46">
        <f>IFERROR(__xludf.DUMMYFUNCTION("""COMPUTED_VALUE"""),3708948.0)</f>
        <v>3708948</v>
      </c>
      <c r="E77" s="46">
        <f>IFERROR(__xludf.DUMMYFUNCTION("""COMPUTED_VALUE"""),2258265.0)</f>
        <v>2258265</v>
      </c>
      <c r="F77" s="46">
        <f>IFERROR(__xludf.DUMMYFUNCTION("""COMPUTED_VALUE"""),2074721.0)</f>
        <v>2074721</v>
      </c>
      <c r="G77" s="46">
        <f>IFERROR(__xludf.DUMMYFUNCTION("""COMPUTED_VALUE"""),1850517.0)</f>
        <v>1850517</v>
      </c>
      <c r="H77" s="46">
        <f>IFERROR(__xludf.DUMMYFUNCTION("""COMPUTED_VALUE"""),0.0)</f>
        <v>0</v>
      </c>
      <c r="I77" s="46">
        <f>IFERROR(__xludf.DUMMYFUNCTION("""COMPUTED_VALUE"""),1881970.0)</f>
        <v>1881970</v>
      </c>
      <c r="J77" s="46">
        <f>IFERROR(__xludf.DUMMYFUNCTION("""COMPUTED_VALUE"""),1901958.0)</f>
        <v>1901958</v>
      </c>
      <c r="K77" s="46">
        <f>IFERROR(__xludf.DUMMYFUNCTION("""COMPUTED_VALUE"""),0.0)</f>
        <v>0</v>
      </c>
      <c r="L77" s="46">
        <f>IFERROR(__xludf.DUMMYFUNCTION("""COMPUTED_VALUE"""),0.0)</f>
        <v>0</v>
      </c>
      <c r="M77" s="46">
        <f>IFERROR(__xludf.DUMMYFUNCTION("""COMPUTED_VALUE"""),0.0)</f>
        <v>0</v>
      </c>
      <c r="N77" s="46">
        <f>IFERROR(__xludf.DUMMYFUNCTION("""COMPUTED_VALUE"""),0.0)</f>
        <v>0</v>
      </c>
      <c r="O77" s="46">
        <f>IFERROR(__xludf.DUMMYFUNCTION("""COMPUTED_VALUE"""),1.8009768E7)</f>
        <v>18009768</v>
      </c>
      <c r="P77" s="47">
        <f>IFERROR(__xludf.DUMMYFUNCTION("""COMPUTED_VALUE"""),0.661404018332068)</f>
        <v>0.6614040183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IFERROR(__xludf.DUMMYFUNCTION("""COMPUTED_VALUE"""),1533007.0)</f>
        <v>1533007</v>
      </c>
      <c r="C78" s="68">
        <f>IFERROR(__xludf.DUMMYFUNCTION("""COMPUTED_VALUE"""),1528360.0)</f>
        <v>1528360</v>
      </c>
      <c r="D78" s="68">
        <f>IFERROR(__xludf.DUMMYFUNCTION("""COMPUTED_VALUE"""),2957112.0)</f>
        <v>2957112</v>
      </c>
      <c r="E78" s="68">
        <f>IFERROR(__xludf.DUMMYFUNCTION("""COMPUTED_VALUE"""),1525004.0)</f>
        <v>1525004</v>
      </c>
      <c r="F78" s="68">
        <f>IFERROR(__xludf.DUMMYFUNCTION("""COMPUTED_VALUE"""),1523924.0)</f>
        <v>1523924</v>
      </c>
      <c r="G78" s="68">
        <f>IFERROR(__xludf.DUMMYFUNCTION("""COMPUTED_VALUE"""),1197240.0)</f>
        <v>1197240</v>
      </c>
      <c r="H78" s="69"/>
      <c r="I78" s="68">
        <f>IFERROR(__xludf.DUMMYFUNCTION("""COMPUTED_VALUE"""),1149601.0)</f>
        <v>1149601</v>
      </c>
      <c r="J78" s="68">
        <f>IFERROR(__xludf.DUMMYFUNCTION("""COMPUTED_VALUE"""),1138796.0)</f>
        <v>1138796</v>
      </c>
      <c r="K78" s="68"/>
      <c r="L78" s="68"/>
      <c r="M78" s="68"/>
      <c r="N78" s="68"/>
      <c r="O78" s="52">
        <f>IFERROR(__xludf.DUMMYFUNCTION("""COMPUTED_VALUE"""),1.2553044E7)</f>
        <v>12553044</v>
      </c>
      <c r="P78" s="53">
        <f>IFERROR(__xludf.DUMMYFUNCTION("""COMPUTED_VALUE"""),0.6970130875644817)</f>
        <v>0.6970130876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IFERROR(__xludf.DUMMYFUNCTION("""COMPUTED_VALUE"""),0.0)</f>
        <v>0</v>
      </c>
      <c r="C79" s="68">
        <f>IFERROR(__xludf.DUMMYFUNCTION("""COMPUTED_VALUE"""),0.0)</f>
        <v>0</v>
      </c>
      <c r="D79" s="68">
        <f>IFERROR(__xludf.DUMMYFUNCTION("""COMPUTED_VALUE"""),0.0)</f>
        <v>0</v>
      </c>
      <c r="E79" s="68"/>
      <c r="F79" s="68"/>
      <c r="G79" s="68"/>
      <c r="H79" s="24"/>
      <c r="I79" s="68"/>
      <c r="J79" s="68"/>
      <c r="K79" s="68"/>
      <c r="L79" s="68"/>
      <c r="M79" s="68"/>
      <c r="N79" s="68"/>
      <c r="O79" s="52">
        <f>IFERROR(__xludf.DUMMYFUNCTION("""COMPUTED_VALUE"""),0.0)</f>
        <v>0</v>
      </c>
      <c r="P79" s="53">
        <f>IFERROR(__xludf.DUMMYFUNCTION("""COMPUTED_VALUE"""),0.0)</f>
        <v>0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IFERROR(__xludf.DUMMYFUNCTION("""COMPUTED_VALUE"""),365827.0)</f>
        <v>365827</v>
      </c>
      <c r="C80" s="68">
        <f>IFERROR(__xludf.DUMMYFUNCTION("""COMPUTED_VALUE"""),476973.0)</f>
        <v>476973</v>
      </c>
      <c r="D80" s="68">
        <f>IFERROR(__xludf.DUMMYFUNCTION("""COMPUTED_VALUE"""),606356.0)</f>
        <v>606356</v>
      </c>
      <c r="E80" s="68">
        <f>IFERROR(__xludf.DUMMYFUNCTION("""COMPUTED_VALUE"""),695011.0)</f>
        <v>695011</v>
      </c>
      <c r="F80" s="68">
        <f>IFERROR(__xludf.DUMMYFUNCTION("""COMPUTED_VALUE"""),547197.0)</f>
        <v>547197</v>
      </c>
      <c r="G80" s="68">
        <f>IFERROR(__xludf.DUMMYFUNCTION("""COMPUTED_VALUE"""),622377.0)</f>
        <v>622377</v>
      </c>
      <c r="H80" s="24"/>
      <c r="I80" s="68">
        <f>IFERROR(__xludf.DUMMYFUNCTION("""COMPUTED_VALUE"""),720369.0)</f>
        <v>720369</v>
      </c>
      <c r="J80" s="68">
        <f>IFERROR(__xludf.DUMMYFUNCTION("""COMPUTED_VALUE"""),738562.0)</f>
        <v>738562</v>
      </c>
      <c r="K80" s="68"/>
      <c r="L80" s="68"/>
      <c r="M80" s="68"/>
      <c r="N80" s="68"/>
      <c r="O80" s="52">
        <f>IFERROR(__xludf.DUMMYFUNCTION("""COMPUTED_VALUE"""),4772672.0)</f>
        <v>4772672</v>
      </c>
      <c r="P80" s="53">
        <f>IFERROR(__xludf.DUMMYFUNCTION("""COMPUTED_VALUE"""),0.2650046352623754)</f>
        <v>0.2650046353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IFERROR(__xludf.DUMMYFUNCTION("""COMPUTED_VALUE"""),250902.0)</f>
        <v>250902</v>
      </c>
      <c r="C81" s="68">
        <f>IFERROR(__xludf.DUMMYFUNCTION("""COMPUTED_VALUE"""),178320.0)</f>
        <v>178320</v>
      </c>
      <c r="D81" s="68">
        <f>IFERROR(__xludf.DUMMYFUNCTION("""COMPUTED_VALUE"""),145480.0)</f>
        <v>145480</v>
      </c>
      <c r="E81" s="68">
        <f>IFERROR(__xludf.DUMMYFUNCTION("""COMPUTED_VALUE"""),38250.0)</f>
        <v>38250</v>
      </c>
      <c r="F81" s="68">
        <f>IFERROR(__xludf.DUMMYFUNCTION("""COMPUTED_VALUE"""),3600.0)</f>
        <v>3600</v>
      </c>
      <c r="G81" s="68">
        <f>IFERROR(__xludf.DUMMYFUNCTION("""COMPUTED_VALUE"""),30900.0)</f>
        <v>30900</v>
      </c>
      <c r="H81" s="24"/>
      <c r="I81" s="68">
        <f>IFERROR(__xludf.DUMMYFUNCTION("""COMPUTED_VALUE"""),12000.0)</f>
        <v>12000</v>
      </c>
      <c r="J81" s="68">
        <f>IFERROR(__xludf.DUMMYFUNCTION("""COMPUTED_VALUE"""),24600.0)</f>
        <v>24600</v>
      </c>
      <c r="K81" s="68"/>
      <c r="L81" s="68"/>
      <c r="M81" s="68"/>
      <c r="N81" s="68"/>
      <c r="O81" s="52">
        <f>IFERROR(__xludf.DUMMYFUNCTION("""COMPUTED_VALUE"""),684052.0)</f>
        <v>684052</v>
      </c>
      <c r="P81" s="53">
        <f>IFERROR(__xludf.DUMMYFUNCTION("""COMPUTED_VALUE"""),0.03798227717314293)</f>
        <v>0.03798227717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62"/>
      <c r="D82" s="62"/>
      <c r="E82" s="62"/>
      <c r="F82" s="62"/>
      <c r="G82" s="62"/>
      <c r="H82" s="24"/>
      <c r="I82" s="62"/>
      <c r="J82" s="62"/>
      <c r="K82" s="62"/>
      <c r="L82" s="62"/>
      <c r="M82" s="62"/>
      <c r="N82" s="62"/>
      <c r="O82" s="46">
        <f>IFERROR(__xludf.DUMMYFUNCTION("""COMPUTED_VALUE"""),0.0)</f>
        <v>0</v>
      </c>
      <c r="P82" s="47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62"/>
      <c r="D83" s="62"/>
      <c r="E83" s="62">
        <f>IFERROR(__xludf.DUMMYFUNCTION("""COMPUTED_VALUE"""),0.0)</f>
        <v>0</v>
      </c>
      <c r="F83" s="62">
        <f>IFERROR(__xludf.DUMMYFUNCTION("""COMPUTED_VALUE"""),0.0)</f>
        <v>0</v>
      </c>
      <c r="G83" s="62">
        <f>IFERROR(__xludf.DUMMYFUNCTION("""COMPUTED_VALUE"""),0.0)</f>
        <v>0</v>
      </c>
      <c r="H83" s="24"/>
      <c r="I83" s="62"/>
      <c r="J83" s="62">
        <f>IFERROR(__xludf.DUMMYFUNCTION("""COMPUTED_VALUE"""),0.0)</f>
        <v>0</v>
      </c>
      <c r="K83" s="62"/>
      <c r="L83" s="62"/>
      <c r="M83" s="62"/>
      <c r="N83" s="62"/>
      <c r="O83" s="46">
        <f>IFERROR(__xludf.DUMMYFUNCTION("""COMPUTED_VALUE"""),0.0)</f>
        <v>0</v>
      </c>
      <c r="P83" s="47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IFERROR(__xludf.DUMMYFUNCTION("""COMPUTED_VALUE"""),330.0)</f>
        <v>330</v>
      </c>
      <c r="C84" s="46">
        <f>IFERROR(__xludf.DUMMYFUNCTION("""COMPUTED_VALUE"""),330.0)</f>
        <v>330</v>
      </c>
      <c r="D84" s="46">
        <f>IFERROR(__xludf.DUMMYFUNCTION("""COMPUTED_VALUE"""),830.0)</f>
        <v>830</v>
      </c>
      <c r="E84" s="46">
        <f>IFERROR(__xludf.DUMMYFUNCTION("""COMPUTED_VALUE"""),330.0)</f>
        <v>330</v>
      </c>
      <c r="F84" s="46">
        <f>IFERROR(__xludf.DUMMYFUNCTION("""COMPUTED_VALUE"""),830.0)</f>
        <v>830</v>
      </c>
      <c r="G84" s="46">
        <f>IFERROR(__xludf.DUMMYFUNCTION("""COMPUTED_VALUE"""),330.0)</f>
        <v>330</v>
      </c>
      <c r="H84" s="24">
        <f>IFERROR(__xludf.DUMMYFUNCTION("""COMPUTED_VALUE"""),0.0)</f>
        <v>0</v>
      </c>
      <c r="I84" s="46">
        <f>IFERROR(__xludf.DUMMYFUNCTION("""COMPUTED_VALUE"""),330.0)</f>
        <v>330</v>
      </c>
      <c r="J84" s="46">
        <f>IFERROR(__xludf.DUMMYFUNCTION("""COMPUTED_VALUE"""),330.0)</f>
        <v>330</v>
      </c>
      <c r="K84" s="46">
        <f>IFERROR(__xludf.DUMMYFUNCTION("""COMPUTED_VALUE"""),0.0)</f>
        <v>0</v>
      </c>
      <c r="L84" s="46">
        <f>IFERROR(__xludf.DUMMYFUNCTION("""COMPUTED_VALUE"""),0.0)</f>
        <v>0</v>
      </c>
      <c r="M84" s="46">
        <f>IFERROR(__xludf.DUMMYFUNCTION("""COMPUTED_VALUE"""),0.0)</f>
        <v>0</v>
      </c>
      <c r="N84" s="46">
        <f>IFERROR(__xludf.DUMMYFUNCTION("""COMPUTED_VALUE"""),0.0)</f>
        <v>0</v>
      </c>
      <c r="O84" s="46">
        <f>IFERROR(__xludf.DUMMYFUNCTION("""COMPUTED_VALUE"""),3640.0)</f>
        <v>3640</v>
      </c>
      <c r="P84" s="47">
        <f>IFERROR(__xludf.DUMMYFUNCTION("""COMPUTED_VALUE"""),1.3367804775323743E-4)</f>
        <v>0.0001336780478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>
        <f>IFERROR(__xludf.DUMMYFUNCTION("""COMPUTED_VALUE"""),330.0)</f>
        <v>330</v>
      </c>
      <c r="C85" s="68">
        <f>IFERROR(__xludf.DUMMYFUNCTION("""COMPUTED_VALUE"""),330.0)</f>
        <v>330</v>
      </c>
      <c r="D85" s="68">
        <f>IFERROR(__xludf.DUMMYFUNCTION("""COMPUTED_VALUE"""),830.0)</f>
        <v>830</v>
      </c>
      <c r="E85" s="68">
        <f>IFERROR(__xludf.DUMMYFUNCTION("""COMPUTED_VALUE"""),330.0)</f>
        <v>330</v>
      </c>
      <c r="F85" s="68">
        <f>IFERROR(__xludf.DUMMYFUNCTION("""COMPUTED_VALUE"""),830.0)</f>
        <v>830</v>
      </c>
      <c r="G85" s="68">
        <f>IFERROR(__xludf.DUMMYFUNCTION("""COMPUTED_VALUE"""),330.0)</f>
        <v>330</v>
      </c>
      <c r="H85" s="24"/>
      <c r="I85" s="68">
        <f>IFERROR(__xludf.DUMMYFUNCTION("""COMPUTED_VALUE"""),330.0)</f>
        <v>330</v>
      </c>
      <c r="J85" s="68">
        <f>IFERROR(__xludf.DUMMYFUNCTION("""COMPUTED_VALUE"""),330.0)</f>
        <v>330</v>
      </c>
      <c r="K85" s="68"/>
      <c r="L85" s="68"/>
      <c r="M85" s="68"/>
      <c r="N85" s="68"/>
      <c r="O85" s="52">
        <f>IFERROR(__xludf.DUMMYFUNCTION("""COMPUTED_VALUE"""),3640.0)</f>
        <v>3640</v>
      </c>
      <c r="P85" s="53">
        <f>IFERROR(__xludf.DUMMYFUNCTION("""COMPUTED_VALUE"""),1.0)</f>
        <v>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68"/>
      <c r="D86" s="68"/>
      <c r="E86" s="68">
        <f>IFERROR(__xludf.DUMMYFUNCTION("""COMPUTED_VALUE"""),0.0)</f>
        <v>0</v>
      </c>
      <c r="F86" s="68">
        <f>IFERROR(__xludf.DUMMYFUNCTION("""COMPUTED_VALUE"""),0.0)</f>
        <v>0</v>
      </c>
      <c r="G86" s="68">
        <f>IFERROR(__xludf.DUMMYFUNCTION("""COMPUTED_VALUE"""),0.0)</f>
        <v>0</v>
      </c>
      <c r="H86" s="24"/>
      <c r="I86" s="68">
        <f>IFERROR(__xludf.DUMMYFUNCTION("""COMPUTED_VALUE"""),0.0)</f>
        <v>0</v>
      </c>
      <c r="J86" s="68">
        <f>IFERROR(__xludf.DUMMYFUNCTION("""COMPUTED_VALUE"""),0.0)</f>
        <v>0</v>
      </c>
      <c r="K86" s="68">
        <f>IFERROR(__xludf.DUMMYFUNCTION("""COMPUTED_VALUE"""),0.0)</f>
        <v>0</v>
      </c>
      <c r="L86" s="68">
        <f>IFERROR(__xludf.DUMMYFUNCTION("""COMPUTED_VALUE"""),0.0)</f>
        <v>0</v>
      </c>
      <c r="M86" s="68">
        <f>IFERROR(__xludf.DUMMYFUNCTION("""COMPUTED_VALUE"""),0.0)</f>
        <v>0</v>
      </c>
      <c r="N86" s="68">
        <f>IFERROR(__xludf.DUMMYFUNCTION("""COMPUTED_VALUE"""),0.0)</f>
        <v>0</v>
      </c>
      <c r="O86" s="52">
        <f>IFERROR(__xludf.DUMMYFUNCTION("""COMPUTED_VALUE"""),0.0)</f>
        <v>0</v>
      </c>
      <c r="P86" s="53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68"/>
      <c r="D87" s="68"/>
      <c r="E87" s="68">
        <f>IFERROR(__xludf.DUMMYFUNCTION("""COMPUTED_VALUE"""),0.0)</f>
        <v>0</v>
      </c>
      <c r="F87" s="68">
        <f>IFERROR(__xludf.DUMMYFUNCTION("""COMPUTED_VALUE"""),0.0)</f>
        <v>0</v>
      </c>
      <c r="G87" s="68">
        <f>IFERROR(__xludf.DUMMYFUNCTION("""COMPUTED_VALUE"""),0.0)</f>
        <v>0</v>
      </c>
      <c r="H87" s="24"/>
      <c r="I87" s="68">
        <f>IFERROR(__xludf.DUMMYFUNCTION("""COMPUTED_VALUE"""),0.0)</f>
        <v>0</v>
      </c>
      <c r="J87" s="68">
        <f>IFERROR(__xludf.DUMMYFUNCTION("""COMPUTED_VALUE"""),0.0)</f>
        <v>0</v>
      </c>
      <c r="K87" s="68">
        <f>IFERROR(__xludf.DUMMYFUNCTION("""COMPUTED_VALUE"""),0.0)</f>
        <v>0</v>
      </c>
      <c r="L87" s="68">
        <f>IFERROR(__xludf.DUMMYFUNCTION("""COMPUTED_VALUE"""),0.0)</f>
        <v>0</v>
      </c>
      <c r="M87" s="68">
        <f>IFERROR(__xludf.DUMMYFUNCTION("""COMPUTED_VALUE"""),0.0)</f>
        <v>0</v>
      </c>
      <c r="N87" s="68">
        <f>IFERROR(__xludf.DUMMYFUNCTION("""COMPUTED_VALUE"""),0.0)</f>
        <v>0</v>
      </c>
      <c r="O87" s="52">
        <f>IFERROR(__xludf.DUMMYFUNCTION("""COMPUTED_VALUE"""),0.0)</f>
        <v>0</v>
      </c>
      <c r="P87" s="53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68"/>
      <c r="D88" s="68"/>
      <c r="E88" s="68">
        <f>IFERROR(__xludf.DUMMYFUNCTION("""COMPUTED_VALUE"""),0.0)</f>
        <v>0</v>
      </c>
      <c r="F88" s="68">
        <f>IFERROR(__xludf.DUMMYFUNCTION("""COMPUTED_VALUE"""),0.0)</f>
        <v>0</v>
      </c>
      <c r="G88" s="68">
        <f>IFERROR(__xludf.DUMMYFUNCTION("""COMPUTED_VALUE"""),0.0)</f>
        <v>0</v>
      </c>
      <c r="H88" s="24"/>
      <c r="I88" s="68">
        <f>IFERROR(__xludf.DUMMYFUNCTION("""COMPUTED_VALUE"""),0.0)</f>
        <v>0</v>
      </c>
      <c r="J88" s="68">
        <f>IFERROR(__xludf.DUMMYFUNCTION("""COMPUTED_VALUE"""),0.0)</f>
        <v>0</v>
      </c>
      <c r="K88" s="68">
        <f>IFERROR(__xludf.DUMMYFUNCTION("""COMPUTED_VALUE"""),0.0)</f>
        <v>0</v>
      </c>
      <c r="L88" s="68">
        <f>IFERROR(__xludf.DUMMYFUNCTION("""COMPUTED_VALUE"""),0.0)</f>
        <v>0</v>
      </c>
      <c r="M88" s="68">
        <f>IFERROR(__xludf.DUMMYFUNCTION("""COMPUTED_VALUE"""),0.0)</f>
        <v>0</v>
      </c>
      <c r="N88" s="68">
        <f>IFERROR(__xludf.DUMMYFUNCTION("""COMPUTED_VALUE"""),0.0)</f>
        <v>0</v>
      </c>
      <c r="O88" s="52">
        <f>IFERROR(__xludf.DUMMYFUNCTION("""COMPUTED_VALUE"""),0.0)</f>
        <v>0</v>
      </c>
      <c r="P88" s="53">
        <f>IFERROR(__xludf.DUMMYFUNCTION("""COMPUTED_VALUE"""),0.0)</f>
        <v>0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IFERROR(__xludf.DUMMYFUNCTION("""COMPUTED_VALUE"""),0.0)</f>
        <v>0</v>
      </c>
      <c r="C89" s="46">
        <f>IFERROR(__xludf.DUMMYFUNCTION("""COMPUTED_VALUE"""),0.0)</f>
        <v>0</v>
      </c>
      <c r="D89" s="46">
        <f>IFERROR(__xludf.DUMMYFUNCTION("""COMPUTED_VALUE"""),0.0)</f>
        <v>0</v>
      </c>
      <c r="E89" s="46">
        <f>IFERROR(__xludf.DUMMYFUNCTION("""COMPUTED_VALUE"""),0.0)</f>
        <v>0</v>
      </c>
      <c r="F89" s="46">
        <f>IFERROR(__xludf.DUMMYFUNCTION("""COMPUTED_VALUE"""),0.0)</f>
        <v>0</v>
      </c>
      <c r="G89" s="46">
        <f>IFERROR(__xludf.DUMMYFUNCTION("""COMPUTED_VALUE"""),0.0)</f>
        <v>0</v>
      </c>
      <c r="H89" s="46">
        <f>IFERROR(__xludf.DUMMYFUNCTION("""COMPUTED_VALUE"""),0.0)</f>
        <v>0</v>
      </c>
      <c r="I89" s="46">
        <f>IFERROR(__xludf.DUMMYFUNCTION("""COMPUTED_VALUE"""),0.0)</f>
        <v>0</v>
      </c>
      <c r="J89" s="46">
        <f>IFERROR(__xludf.DUMMYFUNCTION("""COMPUTED_VALUE"""),0.0)</f>
        <v>0</v>
      </c>
      <c r="K89" s="46">
        <f>IFERROR(__xludf.DUMMYFUNCTION("""COMPUTED_VALUE"""),0.0)</f>
        <v>0</v>
      </c>
      <c r="L89" s="46">
        <f>IFERROR(__xludf.DUMMYFUNCTION("""COMPUTED_VALUE"""),0.0)</f>
        <v>0</v>
      </c>
      <c r="M89" s="46">
        <f>IFERROR(__xludf.DUMMYFUNCTION("""COMPUTED_VALUE"""),0.0)</f>
        <v>0</v>
      </c>
      <c r="N89" s="46">
        <f>IFERROR(__xludf.DUMMYFUNCTION("""COMPUTED_VALUE"""),0.0)</f>
        <v>0</v>
      </c>
      <c r="O89" s="46">
        <f>IFERROR(__xludf.DUMMYFUNCTION("""COMPUTED_VALUE"""),0.0)</f>
        <v>0</v>
      </c>
      <c r="P89" s="47">
        <f>IFERROR(__xludf.DUMMYFUNCTION("""COMPUTED_VALUE"""),0.0)</f>
        <v>0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68"/>
      <c r="D90" s="68"/>
      <c r="E90" s="68">
        <f>IFERROR(__xludf.DUMMYFUNCTION("""COMPUTED_VALUE"""),0.0)</f>
        <v>0</v>
      </c>
      <c r="F90" s="68">
        <f>IFERROR(__xludf.DUMMYFUNCTION("""COMPUTED_VALUE"""),0.0)</f>
        <v>0</v>
      </c>
      <c r="G90" s="68">
        <f>IFERROR(__xludf.DUMMYFUNCTION("""COMPUTED_VALUE"""),0.0)</f>
        <v>0</v>
      </c>
      <c r="H90" s="24"/>
      <c r="I90" s="68">
        <f>IFERROR(__xludf.DUMMYFUNCTION("""COMPUTED_VALUE"""),0.0)</f>
        <v>0</v>
      </c>
      <c r="J90" s="68">
        <f>IFERROR(__xludf.DUMMYFUNCTION("""COMPUTED_VALUE"""),0.0)</f>
        <v>0</v>
      </c>
      <c r="K90" s="68"/>
      <c r="L90" s="68"/>
      <c r="M90" s="68"/>
      <c r="N90" s="68"/>
      <c r="O90" s="52">
        <f>IFERROR(__xludf.DUMMYFUNCTION("""COMPUTED_VALUE"""),0.0)</f>
        <v>0</v>
      </c>
      <c r="P90" s="53" t="str">
        <f>IFERROR(__xludf.DUMMYFUNCTION("""COMPUTED_VALUE"""),"")</f>
        <v/>
      </c>
      <c r="Q90" s="16"/>
    </row>
    <row r="91" ht="15.75" customHeight="1">
      <c r="A91" s="51" t="str">
        <f>IFERROR(__xludf.DUMMYFUNCTION("""COMPUTED_VALUE"""),"その他")</f>
        <v>その他</v>
      </c>
      <c r="B91" s="70"/>
      <c r="C91" s="68"/>
      <c r="D91" s="68"/>
      <c r="E91" s="68">
        <f>IFERROR(__xludf.DUMMYFUNCTION("""COMPUTED_VALUE"""),0.0)</f>
        <v>0</v>
      </c>
      <c r="F91" s="68">
        <f>IFERROR(__xludf.DUMMYFUNCTION("""COMPUTED_VALUE"""),0.0)</f>
        <v>0</v>
      </c>
      <c r="G91" s="68">
        <f>IFERROR(__xludf.DUMMYFUNCTION("""COMPUTED_VALUE"""),0.0)</f>
        <v>0</v>
      </c>
      <c r="H91" s="24"/>
      <c r="I91" s="68">
        <f>IFERROR(__xludf.DUMMYFUNCTION("""COMPUTED_VALUE"""),0.0)</f>
        <v>0</v>
      </c>
      <c r="J91" s="68">
        <f>IFERROR(__xludf.DUMMYFUNCTION("""COMPUTED_VALUE"""),0.0)</f>
        <v>0</v>
      </c>
      <c r="K91" s="68"/>
      <c r="L91" s="68"/>
      <c r="M91" s="68"/>
      <c r="N91" s="68"/>
      <c r="O91" s="52">
        <f>IFERROR(__xludf.DUMMYFUNCTION("""COMPUTED_VALUE"""),0.0)</f>
        <v>0</v>
      </c>
      <c r="P91" s="53" t="str">
        <f>IFERROR(__xludf.DUMMYFUNCTION("""COMPUTED_VALUE"""),"")</f>
        <v/>
      </c>
      <c r="Q91" s="16"/>
    </row>
    <row r="92" ht="15.75" customHeight="1">
      <c r="A92" s="48" t="str">
        <f>IFERROR(__xludf.DUMMYFUNCTION("""COMPUTED_VALUE"""),"制作費")</f>
        <v>制作費</v>
      </c>
      <c r="B92" s="67">
        <f>IFERROR(__xludf.DUMMYFUNCTION("""COMPUTED_VALUE"""),4947.0)</f>
        <v>4947</v>
      </c>
      <c r="C92" s="62"/>
      <c r="D92" s="62"/>
      <c r="E92" s="62">
        <f>IFERROR(__xludf.DUMMYFUNCTION("""COMPUTED_VALUE"""),0.0)</f>
        <v>0</v>
      </c>
      <c r="F92" s="62">
        <f>IFERROR(__xludf.DUMMYFUNCTION("""COMPUTED_VALUE"""),0.0)</f>
        <v>0</v>
      </c>
      <c r="G92" s="62">
        <f>IFERROR(__xludf.DUMMYFUNCTION("""COMPUTED_VALUE"""),0.0)</f>
        <v>0</v>
      </c>
      <c r="H92" s="24"/>
      <c r="I92" s="62">
        <f>IFERROR(__xludf.DUMMYFUNCTION("""COMPUTED_VALUE"""),0.0)</f>
        <v>0</v>
      </c>
      <c r="J92" s="62">
        <f>IFERROR(__xludf.DUMMYFUNCTION("""COMPUTED_VALUE"""),0.0)</f>
        <v>0</v>
      </c>
      <c r="K92" s="62"/>
      <c r="L92" s="62"/>
      <c r="M92" s="62"/>
      <c r="N92" s="62"/>
      <c r="O92" s="46">
        <f>IFERROR(__xludf.DUMMYFUNCTION("""COMPUTED_VALUE"""),4947.0)</f>
        <v>4947</v>
      </c>
      <c r="P92" s="47">
        <f>IFERROR(__xludf.DUMMYFUNCTION("""COMPUTED_VALUE"""),1.8167728083386418E-4)</f>
        <v>0.0001816772808</v>
      </c>
      <c r="Q92" s="16"/>
    </row>
    <row r="93" ht="15.75" customHeight="1">
      <c r="A93" s="48" t="str">
        <f>IFERROR(__xludf.DUMMYFUNCTION("""COMPUTED_VALUE"""),"販売促進費")</f>
        <v>販売促進費</v>
      </c>
      <c r="B93" s="70"/>
      <c r="C93" s="62">
        <f>IFERROR(__xludf.DUMMYFUNCTION("""COMPUTED_VALUE"""),66000.0)</f>
        <v>66000</v>
      </c>
      <c r="D93" s="62">
        <f>IFERROR(__xludf.DUMMYFUNCTION("""COMPUTED_VALUE"""),66000.0)</f>
        <v>66000</v>
      </c>
      <c r="E93" s="62">
        <f>IFERROR(__xludf.DUMMYFUNCTION("""COMPUTED_VALUE"""),132000.0)</f>
        <v>132000</v>
      </c>
      <c r="F93" s="62">
        <f>IFERROR(__xludf.DUMMYFUNCTION("""COMPUTED_VALUE"""),758170.0)</f>
        <v>758170</v>
      </c>
      <c r="G93" s="62">
        <f>IFERROR(__xludf.DUMMYFUNCTION("""COMPUTED_VALUE"""),198000.0)</f>
        <v>198000</v>
      </c>
      <c r="H93" s="24"/>
      <c r="I93" s="62">
        <f>IFERROR(__xludf.DUMMYFUNCTION("""COMPUTED_VALUE"""),430100.0)</f>
        <v>430100</v>
      </c>
      <c r="J93" s="62">
        <f>IFERROR(__xludf.DUMMYFUNCTION("""COMPUTED_VALUE"""),110000.0)</f>
        <v>110000</v>
      </c>
      <c r="K93" s="62"/>
      <c r="L93" s="62"/>
      <c r="M93" s="62"/>
      <c r="N93" s="62"/>
      <c r="O93" s="46">
        <f>IFERROR(__xludf.DUMMYFUNCTION("""COMPUTED_VALUE"""),1760270.0)</f>
        <v>1760270</v>
      </c>
      <c r="P93" s="47">
        <f>IFERROR(__xludf.DUMMYFUNCTION("""COMPUTED_VALUE"""),0.06464545525236023)</f>
        <v>0.06464545525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55"/>
      <c r="D94" s="55"/>
      <c r="E94" s="55"/>
      <c r="F94" s="55"/>
      <c r="G94" s="55"/>
      <c r="H94" s="24"/>
      <c r="I94" s="55"/>
      <c r="J94" s="55"/>
      <c r="K94" s="55"/>
      <c r="L94" s="55"/>
      <c r="M94" s="55"/>
      <c r="N94" s="55"/>
      <c r="O94" s="46">
        <f>IFERROR(__xludf.DUMMYFUNCTION("""COMPUTED_VALUE"""),0.0)</f>
        <v>0</v>
      </c>
      <c r="P94" s="47">
        <f>IFERROR(__xludf.DUMMYFUNCTION("""COMPUTED_VALUE"""),0.0)</f>
        <v>0</v>
      </c>
      <c r="Q94" s="16"/>
    </row>
    <row r="95" ht="15.75" customHeight="1">
      <c r="A95" s="48"/>
      <c r="B95" s="55"/>
      <c r="C95" s="55"/>
      <c r="D95" s="55"/>
      <c r="E95" s="55"/>
      <c r="F95" s="55"/>
      <c r="G95" s="55"/>
      <c r="H95" s="24"/>
      <c r="I95" s="55"/>
      <c r="J95" s="55"/>
      <c r="K95" s="55"/>
      <c r="L95" s="55"/>
      <c r="M95" s="55"/>
      <c r="N95" s="55"/>
      <c r="O95" s="50"/>
      <c r="P95" s="47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IFERROR(__xludf.DUMMYFUNCTION("""COMPUTED_VALUE"""),9.955295744459504E-5)</f>
        <v>0.00009955295744</v>
      </c>
      <c r="C96" s="56">
        <f>IFERROR(__xludf.DUMMYFUNCTION("""COMPUTED_VALUE"""),0.017707085806811858)</f>
        <v>0.01770708581</v>
      </c>
      <c r="D96" s="56">
        <f>IFERROR(__xludf.DUMMYFUNCTION("""COMPUTED_VALUE"""),7.186838737810344E-4)</f>
        <v>0.0007186838738</v>
      </c>
      <c r="E96" s="56">
        <f>IFERROR(__xludf.DUMMYFUNCTION("""COMPUTED_VALUE"""),6.058060856688268E-4)</f>
        <v>0.0006058060857</v>
      </c>
      <c r="F96" s="56">
        <f>IFERROR(__xludf.DUMMYFUNCTION("""COMPUTED_VALUE"""),0.019661417279036673)</f>
        <v>0.01966141728</v>
      </c>
      <c r="G96" s="56">
        <f>IFERROR(__xludf.DUMMYFUNCTION("""COMPUTED_VALUE"""),0.0216316742046072)</f>
        <v>0.0216316742</v>
      </c>
      <c r="H96" s="24"/>
      <c r="I96" s="56">
        <f>IFERROR(__xludf.DUMMYFUNCTION("""COMPUTED_VALUE"""),2.878160448319119E-5)</f>
        <v>0.00002878160448</v>
      </c>
      <c r="J96" s="56">
        <f>IFERROR(__xludf.DUMMYFUNCTION("""COMPUTED_VALUE"""),1.4426330484538296E-4)</f>
        <v>0.0001442633048</v>
      </c>
      <c r="K96" s="56" t="str">
        <f>IFERROR(__xludf.DUMMYFUNCTION("""COMPUTED_VALUE"""),"")</f>
        <v/>
      </c>
      <c r="L96" s="56" t="str">
        <f>IFERROR(__xludf.DUMMYFUNCTION("""COMPUTED_VALUE"""),"")</f>
        <v/>
      </c>
      <c r="M96" s="56" t="str">
        <f>IFERROR(__xludf.DUMMYFUNCTION("""COMPUTED_VALUE"""),"")</f>
        <v/>
      </c>
      <c r="N96" s="56" t="str">
        <f>IFERROR(__xludf.DUMMYFUNCTION("""COMPUTED_VALUE"""),"")</f>
        <v/>
      </c>
      <c r="O96" s="56">
        <f>IFERROR(__xludf.DUMMYFUNCTION("""COMPUTED_VALUE"""),0.004545055355886523)</f>
        <v>0.004545055356</v>
      </c>
      <c r="P96" s="56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IFERROR(__xludf.DUMMYFUNCTION("""COMPUTED_VALUE"""),0.5350314413127849)</f>
        <v>0.5350314413</v>
      </c>
      <c r="C97" s="56">
        <f>IFERROR(__xludf.DUMMYFUNCTION("""COMPUTED_VALUE"""),0.6979446036697137)</f>
        <v>0.6979446037</v>
      </c>
      <c r="D97" s="56">
        <f>IFERROR(__xludf.DUMMYFUNCTION("""COMPUTED_VALUE"""),0.4088283920693896)</f>
        <v>0.4088283921</v>
      </c>
      <c r="E97" s="56">
        <f>IFERROR(__xludf.DUMMYFUNCTION("""COMPUTED_VALUE"""),0.20603474097182428)</f>
        <v>0.206034741</v>
      </c>
      <c r="F97" s="56">
        <f>IFERROR(__xludf.DUMMYFUNCTION("""COMPUTED_VALUE"""),0.30369234156179453)</f>
        <v>0.3036923416</v>
      </c>
      <c r="G97" s="56">
        <f>IFERROR(__xludf.DUMMYFUNCTION("""COMPUTED_VALUE"""),0.45210956464973007)</f>
        <v>0.4521095646</v>
      </c>
      <c r="H97" s="24"/>
      <c r="I97" s="56">
        <f>IFERROR(__xludf.DUMMYFUNCTION("""COMPUTED_VALUE"""),0.13211247851032032)</f>
        <v>0.1321124785</v>
      </c>
      <c r="J97" s="56">
        <f>IFERROR(__xludf.DUMMYFUNCTION("""COMPUTED_VALUE"""),0.154147610537705)</f>
        <v>0.1541476105</v>
      </c>
      <c r="K97" s="56" t="str">
        <f>IFERROR(__xludf.DUMMYFUNCTION("""COMPUTED_VALUE"""),"")</f>
        <v/>
      </c>
      <c r="L97" s="56" t="str">
        <f>IFERROR(__xludf.DUMMYFUNCTION("""COMPUTED_VALUE"""),"")</f>
        <v/>
      </c>
      <c r="M97" s="56" t="str">
        <f>IFERROR(__xludf.DUMMYFUNCTION("""COMPUTED_VALUE"""),"")</f>
        <v/>
      </c>
      <c r="N97" s="56" t="str">
        <f>IFERROR(__xludf.DUMMYFUNCTION("""COMPUTED_VALUE"""),"")</f>
        <v/>
      </c>
      <c r="O97" s="56" t="str">
        <f>IFERROR(__xludf.DUMMYFUNCTION("""COMPUTED_VALUE"""),"")</f>
        <v/>
      </c>
      <c r="P97" s="56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IFERROR(__xludf.DUMMYFUNCTION("""COMPUTED_VALUE"""),350987.0)</f>
        <v>350987</v>
      </c>
      <c r="C98" s="46">
        <f>IFERROR(__xludf.DUMMYFUNCTION("""COMPUTED_VALUE"""),264592.7272727273)</f>
        <v>264592.7273</v>
      </c>
      <c r="D98" s="46">
        <f>IFERROR(__xludf.DUMMYFUNCTION("""COMPUTED_VALUE"""),806363.3636363636)</f>
        <v>806363.3636</v>
      </c>
      <c r="E98" s="46">
        <f>IFERROR(__xludf.DUMMYFUNCTION("""COMPUTED_VALUE"""),964858.0)</f>
        <v>964858</v>
      </c>
      <c r="F98" s="46">
        <f>IFERROR(__xludf.DUMMYFUNCTION("""COMPUTED_VALUE"""),502694.8181818182)</f>
        <v>502694.8182</v>
      </c>
      <c r="G98" s="46">
        <f>IFERROR(__xludf.DUMMYFUNCTION("""COMPUTED_VALUE"""),337900.54545454547)</f>
        <v>337900.5455</v>
      </c>
      <c r="H98" s="46"/>
      <c r="I98" s="46">
        <f>IFERROR(__xludf.DUMMYFUNCTION("""COMPUTED_VALUE"""),1224031.6363636365)</f>
        <v>1224031.636</v>
      </c>
      <c r="J98" s="46">
        <f>IFERROR(__xludf.DUMMYFUNCTION("""COMPUTED_VALUE"""),1095376.6363636365)</f>
        <v>1095376.636</v>
      </c>
      <c r="K98" s="46">
        <f>IFERROR(__xludf.DUMMYFUNCTION("""COMPUTED_VALUE"""),0.0)</f>
        <v>0</v>
      </c>
      <c r="L98" s="46">
        <f>IFERROR(__xludf.DUMMYFUNCTION("""COMPUTED_VALUE"""),0.0)</f>
        <v>0</v>
      </c>
      <c r="M98" s="46">
        <f>IFERROR(__xludf.DUMMYFUNCTION("""COMPUTED_VALUE"""),0.0)</f>
        <v>0</v>
      </c>
      <c r="N98" s="46">
        <f>IFERROR(__xludf.DUMMYFUNCTION("""COMPUTED_VALUE"""),0.0)</f>
        <v>0</v>
      </c>
      <c r="O98" s="46">
        <f>IFERROR(__xludf.DUMMYFUNCTION("""COMPUTED_VALUE"""),5546804.7272727275)</f>
        <v>5546804.727</v>
      </c>
      <c r="P98" s="47"/>
      <c r="Q98" s="16"/>
    </row>
    <row r="99" ht="15.75" customHeight="1">
      <c r="A99" s="48"/>
      <c r="B99" s="46"/>
      <c r="C99" s="46"/>
      <c r="D99" s="46"/>
      <c r="E99" s="46"/>
      <c r="F99" s="46"/>
      <c r="G99" s="46"/>
      <c r="H99" s="24"/>
      <c r="I99" s="46"/>
      <c r="J99" s="46"/>
      <c r="K99" s="46"/>
      <c r="L99" s="46"/>
      <c r="M99" s="46"/>
      <c r="N99" s="46"/>
      <c r="O99" s="46"/>
      <c r="P99" s="47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IFERROR(__xludf.DUMMYFUNCTION("""COMPUTED_VALUE"""),1360134.0)</f>
        <v>1360134</v>
      </c>
      <c r="C100" s="44">
        <f>IFERROR(__xludf.DUMMYFUNCTION("""COMPUTED_VALUE"""),462274.2727272725)</f>
        <v>462274.2727</v>
      </c>
      <c r="D100" s="44">
        <f>IFERROR(__xludf.DUMMYFUNCTION("""COMPUTED_VALUE"""),4354685.636363637)</f>
        <v>4354685.636</v>
      </c>
      <c r="E100" s="44">
        <f>IFERROR(__xludf.DUMMYFUNCTION("""COMPUTED_VALUE"""),7390315.0)</f>
        <v>7390315</v>
      </c>
      <c r="F100" s="44">
        <f>IFERROR(__xludf.DUMMYFUNCTION("""COMPUTED_VALUE"""),2952227.1818181816)</f>
        <v>2952227.182</v>
      </c>
      <c r="G100" s="44">
        <f>IFERROR(__xludf.DUMMYFUNCTION("""COMPUTED_VALUE"""),1528488.4545454546)</f>
        <v>1528488.455</v>
      </c>
      <c r="H100" s="24"/>
      <c r="I100" s="44">
        <f>IFERROR(__xludf.DUMMYFUNCTION("""COMPUTED_VALUE"""),1.0358346363636363E7)</f>
        <v>10358346.36</v>
      </c>
      <c r="J100" s="44">
        <f>IFERROR(__xludf.DUMMYFUNCTION("""COMPUTED_VALUE"""),9051808.363636363)</f>
        <v>9051808.364</v>
      </c>
      <c r="K100" s="44">
        <f>IFERROR(__xludf.DUMMYFUNCTION("""COMPUTED_VALUE"""),0.0)</f>
        <v>0</v>
      </c>
      <c r="L100" s="44">
        <f>IFERROR(__xludf.DUMMYFUNCTION("""COMPUTED_VALUE"""),0.0)</f>
        <v>0</v>
      </c>
      <c r="M100" s="44">
        <f>IFERROR(__xludf.DUMMYFUNCTION("""COMPUTED_VALUE"""),0.0)</f>
        <v>0</v>
      </c>
      <c r="N100" s="44">
        <f>IFERROR(__xludf.DUMMYFUNCTION("""COMPUTED_VALUE"""),0.0)</f>
        <v>0</v>
      </c>
      <c r="O100" s="44">
        <f>IFERROR(__xludf.DUMMYFUNCTION("""COMPUTED_VALUE"""),3.745827927272727E7)</f>
        <v>37458279.27</v>
      </c>
      <c r="P100" s="45">
        <f>IFERROR(__xludf.DUMMYFUNCTION("""COMPUTED_VALUE"""),0.340358527688273)</f>
        <v>0.3403585277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46">
        <f>IFERROR(__xludf.DUMMYFUNCTION("""COMPUTED_VALUE"""),0.0)</f>
        <v>0</v>
      </c>
      <c r="D101" s="46">
        <f>IFERROR(__xludf.DUMMYFUNCTION("""COMPUTED_VALUE"""),0.0)</f>
        <v>0</v>
      </c>
      <c r="E101" s="46">
        <f>IFERROR(__xludf.DUMMYFUNCTION("""COMPUTED_VALUE"""),0.0)</f>
        <v>0</v>
      </c>
      <c r="F101" s="46">
        <f>IFERROR(__xludf.DUMMYFUNCTION("""COMPUTED_VALUE"""),0.0)</f>
        <v>0</v>
      </c>
      <c r="G101" s="46">
        <f>IFERROR(__xludf.DUMMYFUNCTION("""COMPUTED_VALUE"""),0.0)</f>
        <v>0</v>
      </c>
      <c r="H101" s="24"/>
      <c r="I101" s="46">
        <f>IFERROR(__xludf.DUMMYFUNCTION("""COMPUTED_VALUE"""),0.0)</f>
        <v>0</v>
      </c>
      <c r="J101" s="46">
        <f>IFERROR(__xludf.DUMMYFUNCTION("""COMPUTED_VALUE"""),0.0)</f>
        <v>0</v>
      </c>
      <c r="K101" s="46">
        <f>IFERROR(__xludf.DUMMYFUNCTION("""COMPUTED_VALUE"""),0.0)</f>
        <v>0</v>
      </c>
      <c r="L101" s="46">
        <f>IFERROR(__xludf.DUMMYFUNCTION("""COMPUTED_VALUE"""),0.0)</f>
        <v>0</v>
      </c>
      <c r="M101" s="46">
        <f>IFERROR(__xludf.DUMMYFUNCTION("""COMPUTED_VALUE"""),0.0)</f>
        <v>0</v>
      </c>
      <c r="N101" s="46">
        <f>IFERROR(__xludf.DUMMYFUNCTION("""COMPUTED_VALUE"""),0.0)</f>
        <v>0</v>
      </c>
      <c r="O101" s="46">
        <f>IFERROR(__xludf.DUMMYFUNCTION("""COMPUTED_VALUE"""),0.0)</f>
        <v>0</v>
      </c>
      <c r="P101" s="47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68"/>
      <c r="D102" s="68"/>
      <c r="E102" s="68"/>
      <c r="F102" s="68"/>
      <c r="G102" s="68"/>
      <c r="H102" s="24"/>
      <c r="I102" s="68"/>
      <c r="J102" s="68"/>
      <c r="K102" s="68"/>
      <c r="L102" s="68"/>
      <c r="M102" s="68"/>
      <c r="N102" s="68"/>
      <c r="O102" s="52">
        <f>IFERROR(__xludf.DUMMYFUNCTION("""COMPUTED_VALUE"""),0.0)</f>
        <v>0</v>
      </c>
      <c r="P102" s="53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68"/>
      <c r="D103" s="68"/>
      <c r="E103" s="68"/>
      <c r="F103" s="68"/>
      <c r="G103" s="68"/>
      <c r="H103" s="24"/>
      <c r="I103" s="68"/>
      <c r="J103" s="68"/>
      <c r="K103" s="68"/>
      <c r="L103" s="68"/>
      <c r="M103" s="68"/>
      <c r="N103" s="68"/>
      <c r="O103" s="52">
        <f>IFERROR(__xludf.DUMMYFUNCTION("""COMPUTED_VALUE"""),0.0)</f>
        <v>0</v>
      </c>
      <c r="P103" s="53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68"/>
      <c r="D104" s="68"/>
      <c r="E104" s="68"/>
      <c r="F104" s="68"/>
      <c r="G104" s="68"/>
      <c r="H104" s="24"/>
      <c r="I104" s="68"/>
      <c r="J104" s="68"/>
      <c r="K104" s="68"/>
      <c r="L104" s="68"/>
      <c r="M104" s="68"/>
      <c r="N104" s="68"/>
      <c r="O104" s="52">
        <f>IFERROR(__xludf.DUMMYFUNCTION("""COMPUTED_VALUE"""),0.0)</f>
        <v>0</v>
      </c>
      <c r="P104" s="53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46">
        <f>IFERROR(__xludf.DUMMYFUNCTION("""COMPUTED_VALUE"""),0.0)</f>
        <v>0</v>
      </c>
      <c r="D105" s="46">
        <f>IFERROR(__xludf.DUMMYFUNCTION("""COMPUTED_VALUE"""),0.0)</f>
        <v>0</v>
      </c>
      <c r="E105" s="46">
        <f>IFERROR(__xludf.DUMMYFUNCTION("""COMPUTED_VALUE"""),0.0)</f>
        <v>0</v>
      </c>
      <c r="F105" s="46">
        <f>IFERROR(__xludf.DUMMYFUNCTION("""COMPUTED_VALUE"""),0.0)</f>
        <v>0</v>
      </c>
      <c r="G105" s="46">
        <f>IFERROR(__xludf.DUMMYFUNCTION("""COMPUTED_VALUE"""),0.0)</f>
        <v>0</v>
      </c>
      <c r="H105" s="24"/>
      <c r="I105" s="46">
        <f>IFERROR(__xludf.DUMMYFUNCTION("""COMPUTED_VALUE"""),0.0)</f>
        <v>0</v>
      </c>
      <c r="J105" s="46">
        <f>IFERROR(__xludf.DUMMYFUNCTION("""COMPUTED_VALUE"""),0.0)</f>
        <v>0</v>
      </c>
      <c r="K105" s="46">
        <f>IFERROR(__xludf.DUMMYFUNCTION("""COMPUTED_VALUE"""),0.0)</f>
        <v>0</v>
      </c>
      <c r="L105" s="46">
        <f>IFERROR(__xludf.DUMMYFUNCTION("""COMPUTED_VALUE"""),0.0)</f>
        <v>0</v>
      </c>
      <c r="M105" s="46">
        <f>IFERROR(__xludf.DUMMYFUNCTION("""COMPUTED_VALUE"""),0.0)</f>
        <v>0</v>
      </c>
      <c r="N105" s="46">
        <f>IFERROR(__xludf.DUMMYFUNCTION("""COMPUTED_VALUE"""),0.0)</f>
        <v>0</v>
      </c>
      <c r="O105" s="46">
        <f>IFERROR(__xludf.DUMMYFUNCTION("""COMPUTED_VALUE"""),0.0)</f>
        <v>0</v>
      </c>
      <c r="P105" s="47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68"/>
      <c r="D106" s="68"/>
      <c r="E106" s="68"/>
      <c r="F106" s="68"/>
      <c r="G106" s="68"/>
      <c r="H106" s="24"/>
      <c r="I106" s="68"/>
      <c r="J106" s="68">
        <f>IFERROR(__xludf.DUMMYFUNCTION("""COMPUTED_VALUE"""),0.0)</f>
        <v>0</v>
      </c>
      <c r="K106" s="68"/>
      <c r="L106" s="68"/>
      <c r="M106" s="68"/>
      <c r="N106" s="68"/>
      <c r="O106" s="52">
        <f>IFERROR(__xludf.DUMMYFUNCTION("""COMPUTED_VALUE"""),0.0)</f>
        <v>0</v>
      </c>
      <c r="P106" s="53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68"/>
      <c r="D107" s="68"/>
      <c r="E107" s="68"/>
      <c r="F107" s="68"/>
      <c r="G107" s="68"/>
      <c r="H107" s="24"/>
      <c r="I107" s="68"/>
      <c r="J107" s="68">
        <f>IFERROR(__xludf.DUMMYFUNCTION("""COMPUTED_VALUE"""),0.0)</f>
        <v>0</v>
      </c>
      <c r="K107" s="68"/>
      <c r="L107" s="68"/>
      <c r="M107" s="68"/>
      <c r="N107" s="68"/>
      <c r="O107" s="52">
        <f>IFERROR(__xludf.DUMMYFUNCTION("""COMPUTED_VALUE"""),0.0)</f>
        <v>0</v>
      </c>
      <c r="P107" s="53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IFERROR(__xludf.DUMMYFUNCTION("""COMPUTED_VALUE"""),1360134.0)</f>
        <v>1360134</v>
      </c>
      <c r="C108" s="44">
        <f>IFERROR(__xludf.DUMMYFUNCTION("""COMPUTED_VALUE"""),462274.2727272725)</f>
        <v>462274.2727</v>
      </c>
      <c r="D108" s="44">
        <f>IFERROR(__xludf.DUMMYFUNCTION("""COMPUTED_VALUE"""),4354685.636363637)</f>
        <v>4354685.636</v>
      </c>
      <c r="E108" s="44">
        <f>IFERROR(__xludf.DUMMYFUNCTION("""COMPUTED_VALUE"""),7390315.0)</f>
        <v>7390315</v>
      </c>
      <c r="F108" s="44">
        <f>IFERROR(__xludf.DUMMYFUNCTION("""COMPUTED_VALUE"""),2952227.1818181816)</f>
        <v>2952227.182</v>
      </c>
      <c r="G108" s="44">
        <f>IFERROR(__xludf.DUMMYFUNCTION("""COMPUTED_VALUE"""),1528488.4545454546)</f>
        <v>1528488.455</v>
      </c>
      <c r="H108" s="24"/>
      <c r="I108" s="44">
        <f>IFERROR(__xludf.DUMMYFUNCTION("""COMPUTED_VALUE"""),1.0358346363636363E7)</f>
        <v>10358346.36</v>
      </c>
      <c r="J108" s="44">
        <f>IFERROR(__xludf.DUMMYFUNCTION("""COMPUTED_VALUE"""),9051808.363636363)</f>
        <v>9051808.364</v>
      </c>
      <c r="K108" s="44">
        <f>IFERROR(__xludf.DUMMYFUNCTION("""COMPUTED_VALUE"""),0.0)</f>
        <v>0</v>
      </c>
      <c r="L108" s="44">
        <f>IFERROR(__xludf.DUMMYFUNCTION("""COMPUTED_VALUE"""),0.0)</f>
        <v>0</v>
      </c>
      <c r="M108" s="44">
        <f>IFERROR(__xludf.DUMMYFUNCTION("""COMPUTED_VALUE"""),0.0)</f>
        <v>0</v>
      </c>
      <c r="N108" s="44">
        <f>IFERROR(__xludf.DUMMYFUNCTION("""COMPUTED_VALUE"""),0.0)</f>
        <v>0</v>
      </c>
      <c r="O108" s="44">
        <f>IFERROR(__xludf.DUMMYFUNCTION("""COMPUTED_VALUE"""),3.745827927272727E7)</f>
        <v>37458279.27</v>
      </c>
      <c r="P108" s="45">
        <f>IFERROR(__xludf.DUMMYFUNCTION("""COMPUTED_VALUE"""),0.340358527688273)</f>
        <v>0.3403585277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IFERROR(__xludf.DUMMYFUNCTION("""COMPUTED_VALUE"""),544053.6)</f>
        <v>544053.6</v>
      </c>
      <c r="C109" s="46">
        <f>IFERROR(__xludf.DUMMYFUNCTION("""COMPUTED_VALUE"""),184909.709090909)</f>
        <v>184909.7091</v>
      </c>
      <c r="D109" s="46">
        <f>IFERROR(__xludf.DUMMYFUNCTION("""COMPUTED_VALUE"""),1741874.2545454549)</f>
        <v>1741874.255</v>
      </c>
      <c r="E109" s="46">
        <f>IFERROR(__xludf.DUMMYFUNCTION("""COMPUTED_VALUE"""),2956126.0)</f>
        <v>2956126</v>
      </c>
      <c r="F109" s="46">
        <f>IFERROR(__xludf.DUMMYFUNCTION("""COMPUTED_VALUE"""),1180890.8727272728)</f>
        <v>1180890.873</v>
      </c>
      <c r="G109" s="46">
        <f>IFERROR(__xludf.DUMMYFUNCTION("""COMPUTED_VALUE"""),611395.3818181818)</f>
        <v>611395.3818</v>
      </c>
      <c r="H109" s="24"/>
      <c r="I109" s="46">
        <f>IFERROR(__xludf.DUMMYFUNCTION("""COMPUTED_VALUE"""),4143338.5454545454)</f>
        <v>4143338.545</v>
      </c>
      <c r="J109" s="46">
        <f>IFERROR(__xludf.DUMMYFUNCTION("""COMPUTED_VALUE"""),3620723.3454545457)</f>
        <v>3620723.345</v>
      </c>
      <c r="K109" s="46">
        <f>IFERROR(__xludf.DUMMYFUNCTION("""COMPUTED_VALUE"""),0.0)</f>
        <v>0</v>
      </c>
      <c r="L109" s="46">
        <f>IFERROR(__xludf.DUMMYFUNCTION("""COMPUTED_VALUE"""),0.0)</f>
        <v>0</v>
      </c>
      <c r="M109" s="46">
        <f>IFERROR(__xludf.DUMMYFUNCTION("""COMPUTED_VALUE"""),0.0)</f>
        <v>0</v>
      </c>
      <c r="N109" s="46">
        <f>IFERROR(__xludf.DUMMYFUNCTION("""COMPUTED_VALUE"""),0.0)</f>
        <v>0</v>
      </c>
      <c r="O109" s="46">
        <f>IFERROR(__xludf.DUMMYFUNCTION("""COMPUTED_VALUE"""),1.498331170909091E7)</f>
        <v>14983311.71</v>
      </c>
      <c r="P109" s="47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IFERROR(__xludf.DUMMYFUNCTION("""COMPUTED_VALUE"""),816080.4)</f>
        <v>816080.4</v>
      </c>
      <c r="C110" s="44">
        <f>IFERROR(__xludf.DUMMYFUNCTION("""COMPUTED_VALUE"""),277364.5636363635)</f>
        <v>277364.5636</v>
      </c>
      <c r="D110" s="44">
        <f>IFERROR(__xludf.DUMMYFUNCTION("""COMPUTED_VALUE"""),2612811.381818182)</f>
        <v>2612811.382</v>
      </c>
      <c r="E110" s="44">
        <f>IFERROR(__xludf.DUMMYFUNCTION("""COMPUTED_VALUE"""),4434189.0)</f>
        <v>4434189</v>
      </c>
      <c r="F110" s="44">
        <f>IFERROR(__xludf.DUMMYFUNCTION("""COMPUTED_VALUE"""),1771336.3090909088)</f>
        <v>1771336.309</v>
      </c>
      <c r="G110" s="44">
        <f>IFERROR(__xludf.DUMMYFUNCTION("""COMPUTED_VALUE"""),917093.0727272728)</f>
        <v>917093.0727</v>
      </c>
      <c r="H110" s="24"/>
      <c r="I110" s="44">
        <f>IFERROR(__xludf.DUMMYFUNCTION("""COMPUTED_VALUE"""),6215007.818181818)</f>
        <v>6215007.818</v>
      </c>
      <c r="J110" s="44">
        <f>IFERROR(__xludf.DUMMYFUNCTION("""COMPUTED_VALUE"""),5431085.018181818)</f>
        <v>5431085.018</v>
      </c>
      <c r="K110" s="44">
        <f>IFERROR(__xludf.DUMMYFUNCTION("""COMPUTED_VALUE"""),0.0)</f>
        <v>0</v>
      </c>
      <c r="L110" s="44">
        <f>IFERROR(__xludf.DUMMYFUNCTION("""COMPUTED_VALUE"""),0.0)</f>
        <v>0</v>
      </c>
      <c r="M110" s="44">
        <f>IFERROR(__xludf.DUMMYFUNCTION("""COMPUTED_VALUE"""),0.0)</f>
        <v>0</v>
      </c>
      <c r="N110" s="44">
        <f>IFERROR(__xludf.DUMMYFUNCTION("""COMPUTED_VALUE"""),0.0)</f>
        <v>0</v>
      </c>
      <c r="O110" s="44">
        <f>IFERROR(__xludf.DUMMYFUNCTION("""COMPUTED_VALUE"""),2.2474967563636363E7)</f>
        <v>22474967.56</v>
      </c>
      <c r="P110" s="45">
        <f>IFERROR(__xludf.DUMMYFUNCTION("""COMPUTED_VALUE"""),0.2042151166129638)</f>
        <v>0.2042151166</v>
      </c>
      <c r="Q110" s="16"/>
    </row>
    <row r="111" ht="15.75" customHeight="1">
      <c r="A111" s="48"/>
      <c r="B111" s="46"/>
      <c r="C111" s="46"/>
      <c r="D111" s="46"/>
      <c r="E111" s="46"/>
      <c r="F111" s="46"/>
      <c r="G111" s="46"/>
      <c r="H111" s="24"/>
      <c r="I111" s="46"/>
      <c r="J111" s="46"/>
      <c r="K111" s="46"/>
      <c r="L111" s="46"/>
      <c r="M111" s="46"/>
      <c r="N111" s="46"/>
      <c r="O111" s="46"/>
      <c r="P111" s="47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IFERROR(__xludf.DUMMYFUNCTION("""COMPUTED_VALUE"""),340033.5)</f>
        <v>340033.5</v>
      </c>
      <c r="C112" s="44">
        <f>IFERROR(__xludf.DUMMYFUNCTION("""COMPUTED_VALUE"""),115568.56818181812)</f>
        <v>115568.5682</v>
      </c>
      <c r="D112" s="44">
        <f>IFERROR(__xludf.DUMMYFUNCTION("""COMPUTED_VALUE"""),1088671.4090909092)</f>
        <v>1088671.409</v>
      </c>
      <c r="E112" s="44">
        <f>IFERROR(__xludf.DUMMYFUNCTION("""COMPUTED_VALUE"""),1847578.75)</f>
        <v>1847578.75</v>
      </c>
      <c r="F112" s="44">
        <f>IFERROR(__xludf.DUMMYFUNCTION("""COMPUTED_VALUE"""),738056.7954545454)</f>
        <v>738056.7955</v>
      </c>
      <c r="G112" s="44">
        <f>IFERROR(__xludf.DUMMYFUNCTION("""COMPUTED_VALUE"""),382122.11363636365)</f>
        <v>382122.1136</v>
      </c>
      <c r="H112" s="24"/>
      <c r="I112" s="44">
        <f>IFERROR(__xludf.DUMMYFUNCTION("""COMPUTED_VALUE"""),3452782.121212121)</f>
        <v>3452782.121</v>
      </c>
      <c r="J112" s="44">
        <f>IFERROR(__xludf.DUMMYFUNCTION("""COMPUTED_VALUE"""),3017269.4545454546)</f>
        <v>3017269.455</v>
      </c>
      <c r="K112" s="44" t="str">
        <f>IFERROR(__xludf.DUMMYFUNCTION("""COMPUTED_VALUE"""),"")</f>
        <v/>
      </c>
      <c r="L112" s="44" t="str">
        <f>IFERROR(__xludf.DUMMYFUNCTION("""COMPUTED_VALUE"""),"")</f>
        <v/>
      </c>
      <c r="M112" s="44" t="str">
        <f>IFERROR(__xludf.DUMMYFUNCTION("""COMPUTED_VALUE"""),"")</f>
        <v/>
      </c>
      <c r="N112" s="44" t="str">
        <f>IFERROR(__xludf.DUMMYFUNCTION("""COMPUTED_VALUE"""),"")</f>
        <v/>
      </c>
      <c r="O112" s="44">
        <f>IFERROR(__xludf.DUMMYFUNCTION("""COMPUTED_VALUE"""),1248609.309090909)</f>
        <v>1248609.309</v>
      </c>
      <c r="P112" s="56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IFERROR(__xludf.DUMMYFUNCTION("""COMPUTED_VALUE"""),4.0)</f>
        <v>4</v>
      </c>
      <c r="C113" s="71">
        <f>IFERROR(__xludf.DUMMYFUNCTION("""COMPUTED_VALUE"""),4.0)</f>
        <v>4</v>
      </c>
      <c r="D113" s="71">
        <f>IFERROR(__xludf.DUMMYFUNCTION("""COMPUTED_VALUE"""),4.0)</f>
        <v>4</v>
      </c>
      <c r="E113" s="71">
        <f>IFERROR(__xludf.DUMMYFUNCTION("""COMPUTED_VALUE"""),4.0)</f>
        <v>4</v>
      </c>
      <c r="F113" s="71">
        <f>IFERROR(__xludf.DUMMYFUNCTION("""COMPUTED_VALUE"""),4.0)</f>
        <v>4</v>
      </c>
      <c r="G113" s="71">
        <f>IFERROR(__xludf.DUMMYFUNCTION("""COMPUTED_VALUE"""),4.0)</f>
        <v>4</v>
      </c>
      <c r="H113" s="29"/>
      <c r="I113" s="71">
        <f>IFERROR(__xludf.DUMMYFUNCTION("""COMPUTED_VALUE"""),3.0)</f>
        <v>3</v>
      </c>
      <c r="J113" s="71">
        <f>IFERROR(__xludf.DUMMYFUNCTION("""COMPUTED_VALUE"""),3.0)</f>
        <v>3</v>
      </c>
      <c r="K113" s="71"/>
      <c r="L113" s="71"/>
      <c r="M113" s="71"/>
      <c r="N113" s="71"/>
      <c r="O113" s="50">
        <f>IFERROR(__xludf.DUMMYFUNCTION("""COMPUTED_VALUE"""),30.0)</f>
        <v>30</v>
      </c>
      <c r="P113" s="47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IFERROR(__xludf.DUMMYFUNCTION("""COMPUTED_VALUE"""),0.0)</f>
        <v>0</v>
      </c>
      <c r="C114" s="71">
        <f>IFERROR(__xludf.DUMMYFUNCTION("""COMPUTED_VALUE"""),0.0)</f>
        <v>0</v>
      </c>
      <c r="D114" s="71">
        <f>IFERROR(__xludf.DUMMYFUNCTION("""COMPUTED_VALUE"""),0.0)</f>
        <v>0</v>
      </c>
      <c r="E114" s="71"/>
      <c r="F114" s="71"/>
      <c r="G114" s="71"/>
      <c r="H114" s="29"/>
      <c r="I114" s="71"/>
      <c r="J114" s="71"/>
      <c r="K114" s="71"/>
      <c r="L114" s="71"/>
      <c r="M114" s="71"/>
      <c r="N114" s="71"/>
      <c r="O114" s="50">
        <f>IFERROR(__xludf.DUMMYFUNCTION("""COMPUTED_VALUE"""),0.0)</f>
        <v>0</v>
      </c>
      <c r="P114" s="47"/>
      <c r="Q114" s="16"/>
    </row>
    <row r="115" ht="15.75" customHeight="1">
      <c r="A115" s="48"/>
      <c r="B115" s="48"/>
      <c r="C115" s="48"/>
      <c r="D115" s="48"/>
      <c r="E115" s="48"/>
      <c r="F115" s="48"/>
      <c r="G115" s="48"/>
      <c r="H115" s="24"/>
      <c r="I115" s="48"/>
      <c r="J115" s="48"/>
      <c r="K115" s="48"/>
      <c r="L115" s="48"/>
      <c r="M115" s="48"/>
      <c r="N115" s="48"/>
      <c r="O115" s="50"/>
      <c r="P115" s="47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IFERROR(__xludf.DUMMYFUNCTION("""COMPUTED_VALUE"""),-1017341.2563472562)</f>
        <v>-1017341.256</v>
      </c>
      <c r="C116" s="44">
        <f>IFERROR(__xludf.DUMMYFUNCTION("""COMPUTED_VALUE"""),-1812952.9462450598)</f>
        <v>-1812952.946</v>
      </c>
      <c r="D116" s="44">
        <f>IFERROR(__xludf.DUMMYFUNCTION("""COMPUTED_VALUE"""),2590047.7169960476)</f>
        <v>2590047.717</v>
      </c>
      <c r="E116" s="44">
        <f>IFERROR(__xludf.DUMMYFUNCTION("""COMPUTED_VALUE"""),5741029.701298702)</f>
        <v>5741029.701</v>
      </c>
      <c r="F116" s="44">
        <f>IFERROR(__xludf.DUMMYFUNCTION("""COMPUTED_VALUE"""),492262.55256916955)</f>
        <v>492262.5526</v>
      </c>
      <c r="G116" s="44">
        <f>IFERROR(__xludf.DUMMYFUNCTION("""COMPUTED_VALUE"""),-122475.60962566826)</f>
        <v>-122475.6096</v>
      </c>
      <c r="H116" s="24"/>
      <c r="I116" s="44">
        <f>IFERROR(__xludf.DUMMYFUNCTION("""COMPUTED_VALUE"""),8939909.676088616)</f>
        <v>8939909.676</v>
      </c>
      <c r="J116" s="44">
        <f>IFERROR(__xludf.DUMMYFUNCTION("""COMPUTED_VALUE"""),7735596.058602554)</f>
        <v>7735596.059</v>
      </c>
      <c r="K116" s="44">
        <f>IFERROR(__xludf.DUMMYFUNCTION("""COMPUTED_VALUE"""),0.0)</f>
        <v>0</v>
      </c>
      <c r="L116" s="44">
        <f>IFERROR(__xludf.DUMMYFUNCTION("""COMPUTED_VALUE"""),0.0)</f>
        <v>0</v>
      </c>
      <c r="M116" s="44">
        <f>IFERROR(__xludf.DUMMYFUNCTION("""COMPUTED_VALUE"""),0.0)</f>
        <v>0</v>
      </c>
      <c r="N116" s="44">
        <f>IFERROR(__xludf.DUMMYFUNCTION("""COMPUTED_VALUE"""),0.0)</f>
        <v>0</v>
      </c>
      <c r="O116" s="44">
        <f>IFERROR(__xludf.DUMMYFUNCTION("""COMPUTED_VALUE"""),2.2546075893337104E7)</f>
        <v>22546075.89</v>
      </c>
      <c r="P116" s="45">
        <f>IFERROR(__xludf.DUMMYFUNCTION("""COMPUTED_VALUE"""),0.20486123081984192)</f>
        <v>0.2048612308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IFERROR(__xludf.DUMMYFUNCTION("""COMPUTED_VALUE"""),-1017341.2563472562)</f>
        <v>-1017341.256</v>
      </c>
      <c r="C117" s="46">
        <f>IFERROR(__xludf.DUMMYFUNCTION("""COMPUTED_VALUE"""),-1812952.9462450598)</f>
        <v>-1812952.946</v>
      </c>
      <c r="D117" s="46">
        <f>IFERROR(__xludf.DUMMYFUNCTION("""COMPUTED_VALUE"""),2590047.7169960476)</f>
        <v>2590047.717</v>
      </c>
      <c r="E117" s="46">
        <f>IFERROR(__xludf.DUMMYFUNCTION("""COMPUTED_VALUE"""),5741029.701298702)</f>
        <v>5741029.701</v>
      </c>
      <c r="F117" s="46">
        <f>IFERROR(__xludf.DUMMYFUNCTION("""COMPUTED_VALUE"""),492262.55256916955)</f>
        <v>492262.5526</v>
      </c>
      <c r="G117" s="46">
        <f>IFERROR(__xludf.DUMMYFUNCTION("""COMPUTED_VALUE"""),-122475.60962566826)</f>
        <v>-122475.6096</v>
      </c>
      <c r="H117" s="24"/>
      <c r="I117" s="46">
        <f>IFERROR(__xludf.DUMMYFUNCTION("""COMPUTED_VALUE"""),8939909.676088616)</f>
        <v>8939909.676</v>
      </c>
      <c r="J117" s="46">
        <f>IFERROR(__xludf.DUMMYFUNCTION("""COMPUTED_VALUE"""),7735596.058602554)</f>
        <v>7735596.059</v>
      </c>
      <c r="K117" s="46">
        <f>IFERROR(__xludf.DUMMYFUNCTION("""COMPUTED_VALUE"""),0.0)</f>
        <v>0</v>
      </c>
      <c r="L117" s="46">
        <f>IFERROR(__xludf.DUMMYFUNCTION("""COMPUTED_VALUE"""),0.0)</f>
        <v>0</v>
      </c>
      <c r="M117" s="46">
        <f>IFERROR(__xludf.DUMMYFUNCTION("""COMPUTED_VALUE"""),0.0)</f>
        <v>0</v>
      </c>
      <c r="N117" s="46">
        <f>IFERROR(__xludf.DUMMYFUNCTION("""COMPUTED_VALUE"""),0.0)</f>
        <v>0</v>
      </c>
      <c r="O117" s="24">
        <f>IFERROR(__xludf.DUMMYFUNCTION("""COMPUTED_VALUE"""),2.2546075893337104E7)</f>
        <v>22546075.89</v>
      </c>
      <c r="P117" s="59">
        <f>IFERROR(__xludf.DUMMYFUNCTION("""COMPUTED_VALUE"""),0.20486123081984192)</f>
        <v>0.2048612308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58">
        <f>IFERROR(__xludf.DUMMYFUNCTION("""COMPUTED_VALUE"""),4.0)</f>
        <v>4</v>
      </c>
      <c r="C118" s="58">
        <f>IFERROR(__xludf.DUMMYFUNCTION("""COMPUTED_VALUE"""),4.0)</f>
        <v>4</v>
      </c>
      <c r="D118" s="58">
        <f>IFERROR(__xludf.DUMMYFUNCTION("""COMPUTED_VALUE"""),4.0)</f>
        <v>4</v>
      </c>
      <c r="E118" s="58">
        <f>IFERROR(__xludf.DUMMYFUNCTION("""COMPUTED_VALUE"""),4.0)</f>
        <v>4</v>
      </c>
      <c r="F118" s="58">
        <f>IFERROR(__xludf.DUMMYFUNCTION("""COMPUTED_VALUE"""),4.0)</f>
        <v>4</v>
      </c>
      <c r="G118" s="58">
        <f>IFERROR(__xludf.DUMMYFUNCTION("""COMPUTED_VALUE"""),4.0)</f>
        <v>4</v>
      </c>
      <c r="H118" s="29"/>
      <c r="I118" s="58">
        <f>IFERROR(__xludf.DUMMYFUNCTION("""COMPUTED_VALUE"""),3.0)</f>
        <v>3</v>
      </c>
      <c r="J118" s="58">
        <f>IFERROR(__xludf.DUMMYFUNCTION("""COMPUTED_VALUE"""),3.0)</f>
        <v>3</v>
      </c>
      <c r="K118" s="58">
        <f>IFERROR(__xludf.DUMMYFUNCTION("""COMPUTED_VALUE"""),0.0)</f>
        <v>0</v>
      </c>
      <c r="L118" s="58">
        <f>IFERROR(__xludf.DUMMYFUNCTION("""COMPUTED_VALUE"""),0.0)</f>
        <v>0</v>
      </c>
      <c r="M118" s="58">
        <f>IFERROR(__xludf.DUMMYFUNCTION("""COMPUTED_VALUE"""),0.0)</f>
        <v>0</v>
      </c>
      <c r="N118" s="58">
        <f>IFERROR(__xludf.DUMMYFUNCTION("""COMPUTED_VALUE"""),0.0)</f>
        <v>0</v>
      </c>
      <c r="O118" s="24">
        <f>IFERROR(__xludf.DUMMYFUNCTION("""COMPUTED_VALUE"""),30.0)</f>
        <v>30</v>
      </c>
      <c r="P118" s="59"/>
      <c r="Q118" s="60"/>
    </row>
    <row r="119" ht="15.75" customHeight="1">
      <c r="A119" s="57" t="str">
        <f>IFERROR(__xludf.DUMMYFUNCTION("""COMPUTED_VALUE"""),"配布割合")</f>
        <v>配布割合</v>
      </c>
      <c r="B119" s="49">
        <f>IFERROR(__xludf.DUMMYFUNCTION("""COMPUTED_VALUE"""),0.07207207207207207)</f>
        <v>0.07207207207</v>
      </c>
      <c r="C119" s="49">
        <f>IFERROR(__xludf.DUMMYFUNCTION("""COMPUTED_VALUE"""),0.06956521739130435)</f>
        <v>0.06956521739</v>
      </c>
      <c r="D119" s="49">
        <f>IFERROR(__xludf.DUMMYFUNCTION("""COMPUTED_VALUE"""),0.06956521739130435)</f>
        <v>0.06956521739</v>
      </c>
      <c r="E119" s="49">
        <f>IFERROR(__xludf.DUMMYFUNCTION("""COMPUTED_VALUE"""),0.06722689075630252)</f>
        <v>0.06722689076</v>
      </c>
      <c r="F119" s="49">
        <f>IFERROR(__xludf.DUMMYFUNCTION("""COMPUTED_VALUE"""),0.06956521739130435)</f>
        <v>0.06956521739</v>
      </c>
      <c r="G119" s="49">
        <f>IFERROR(__xludf.DUMMYFUNCTION("""COMPUTED_VALUE"""),0.06722689075630252)</f>
        <v>0.06722689076</v>
      </c>
      <c r="H119" s="24"/>
      <c r="I119" s="49">
        <f>IFERROR(__xludf.DUMMYFUNCTION("""COMPUTED_VALUE"""),0.05042016806722689)</f>
        <v>0.05042016807</v>
      </c>
      <c r="J119" s="49">
        <f>IFERROR(__xludf.DUMMYFUNCTION("""COMPUTED_VALUE"""),0.049586776859504134)</f>
        <v>0.04958677686</v>
      </c>
      <c r="K119" s="49" t="str">
        <f>IFERROR(__xludf.DUMMYFUNCTION("""COMPUTED_VALUE"""),"")</f>
        <v/>
      </c>
      <c r="L119" s="49" t="str">
        <f>IFERROR(__xludf.DUMMYFUNCTION("""COMPUTED_VALUE"""),"")</f>
        <v/>
      </c>
      <c r="M119" s="49" t="str">
        <f>IFERROR(__xludf.DUMMYFUNCTION("""COMPUTED_VALUE"""),"")</f>
        <v/>
      </c>
      <c r="N119" s="49" t="str">
        <f>IFERROR(__xludf.DUMMYFUNCTION("""COMPUTED_VALUE"""),"")</f>
        <v/>
      </c>
      <c r="O119" s="49">
        <f>IFERROR(__xludf.DUMMYFUNCTION("""COMPUTED_VALUE"""),0.06423982869379015)</f>
        <v>0.06423982869</v>
      </c>
      <c r="P119" s="59"/>
      <c r="Q119" s="60"/>
    </row>
    <row r="120" ht="15.75" customHeight="1">
      <c r="A120" s="57" t="str">
        <f>IFERROR(__xludf.DUMMYFUNCTION("""COMPUTED_VALUE"""),"配布額")</f>
        <v>配布額</v>
      </c>
      <c r="B120" s="46">
        <f>IFERROR(__xludf.DUMMYFUNCTION("""COMPUTED_VALUE"""),2377475.2563472562)</f>
        <v>2377475.256</v>
      </c>
      <c r="C120" s="46">
        <f>IFERROR(__xludf.DUMMYFUNCTION("""COMPUTED_VALUE"""),2275227.2189723323)</f>
        <v>2275227.219</v>
      </c>
      <c r="D120" s="46">
        <f>IFERROR(__xludf.DUMMYFUNCTION("""COMPUTED_VALUE"""),1764637.9193675888)</f>
        <v>1764637.919</v>
      </c>
      <c r="E120" s="46">
        <f>IFERROR(__xludf.DUMMYFUNCTION("""COMPUTED_VALUE"""),1649285.2987012984)</f>
        <v>1649285.299</v>
      </c>
      <c r="F120" s="46">
        <f>IFERROR(__xludf.DUMMYFUNCTION("""COMPUTED_VALUE"""),2459964.629249012)</f>
        <v>2459964.629</v>
      </c>
      <c r="G120" s="46">
        <f>IFERROR(__xludf.DUMMYFUNCTION("""COMPUTED_VALUE"""),1650964.0641711229)</f>
        <v>1650964.064</v>
      </c>
      <c r="H120" s="46"/>
      <c r="I120" s="46">
        <f>IFERROR(__xludf.DUMMYFUNCTION("""COMPUTED_VALUE"""),1418436.6875477463)</f>
        <v>1418436.688</v>
      </c>
      <c r="J120" s="46">
        <f>IFERROR(__xludf.DUMMYFUNCTION("""COMPUTED_VALUE"""),1316212.3050338093)</f>
        <v>1316212.305</v>
      </c>
      <c r="K120" s="46">
        <f>IFERROR(__xludf.DUMMYFUNCTION("""COMPUTED_VALUE"""),0.0)</f>
        <v>0</v>
      </c>
      <c r="L120" s="46">
        <f>IFERROR(__xludf.DUMMYFUNCTION("""COMPUTED_VALUE"""),0.0)</f>
        <v>0</v>
      </c>
      <c r="M120" s="46">
        <f>IFERROR(__xludf.DUMMYFUNCTION("""COMPUTED_VALUE"""),0.0)</f>
        <v>0</v>
      </c>
      <c r="N120" s="46">
        <f>IFERROR(__xludf.DUMMYFUNCTION("""COMPUTED_VALUE"""),0.0)</f>
        <v>0</v>
      </c>
      <c r="O120" s="24">
        <f>IFERROR(__xludf.DUMMYFUNCTION("""COMPUTED_VALUE"""),1.4912203379390165E7)</f>
        <v>14912203.38</v>
      </c>
      <c r="P120" s="59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IFERROR(__xludf.DUMMYFUNCTION("""COMPUTED_VALUE"""),157105.0)</f>
        <v>157105</v>
      </c>
      <c r="C122" s="46">
        <f>IFERROR(__xludf.DUMMYFUNCTION("""COMPUTED_VALUE"""),218171.0)</f>
        <v>218171</v>
      </c>
      <c r="D122" s="46">
        <f>IFERROR(__xludf.DUMMYFUNCTION("""COMPUTED_VALUE"""),202142.0)</f>
        <v>202142</v>
      </c>
      <c r="E122" s="46">
        <f>IFERROR(__xludf.DUMMYFUNCTION("""COMPUTED_VALUE"""),347165.0)</f>
        <v>347165</v>
      </c>
      <c r="F122" s="46">
        <f>IFERROR(__xludf.DUMMYFUNCTION("""COMPUTED_VALUE"""),1302011.0)</f>
        <v>1302011</v>
      </c>
      <c r="G122" s="46">
        <f>IFERROR(__xludf.DUMMYFUNCTION("""COMPUTED_VALUE"""),376166.0)</f>
        <v>376166</v>
      </c>
      <c r="H122" s="24"/>
      <c r="I122" s="46">
        <f>IFERROR(__xludf.DUMMYFUNCTION("""COMPUTED_VALUE"""),780862.0)</f>
        <v>780862</v>
      </c>
      <c r="J122" s="46">
        <f>IFERROR(__xludf.DUMMYFUNCTION("""COMPUTED_VALUE"""),289407.0)</f>
        <v>289407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37" t="str">
        <f>IFERROR(__xludf.DUMMYFUNCTION("IMPORTRANGE(""https://docs.google.com/spreadsheets/d/1SlHuJEDBJ4Gy3WXeRPN-U9OYonTEM2Yhh4rIuiFr5bQ/edit#gid=256474166"",""未来!A:S"")"),"2022年度")</f>
        <v>2022年度</v>
      </c>
      <c r="B1" s="38">
        <f>IFERROR(__xludf.DUMMYFUNCTION("""COMPUTED_VALUE"""),8.0)</f>
        <v>8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IFERROR(__xludf.DUMMYFUNCTION("""COMPUTED_VALUE"""),"未来教育創造")</f>
        <v>未来教育創造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IFERROR(__xludf.DUMMYFUNCTION("""COMPUTED_VALUE"""),2.853576E7)</f>
        <v>28535760</v>
      </c>
      <c r="C3" s="44">
        <f>IFERROR(__xludf.DUMMYFUNCTION("""COMPUTED_VALUE"""),3002945.0)</f>
        <v>3002945</v>
      </c>
      <c r="D3" s="44">
        <f>IFERROR(__xludf.DUMMYFUNCTION("""COMPUTED_VALUE"""),339680.0)</f>
        <v>339680</v>
      </c>
      <c r="E3" s="44">
        <f>IFERROR(__xludf.DUMMYFUNCTION("""COMPUTED_VALUE"""),1065900.0)</f>
        <v>1065900</v>
      </c>
      <c r="F3" s="44">
        <f>IFERROR(__xludf.DUMMYFUNCTION("""COMPUTED_VALUE"""),1682725.0)</f>
        <v>1682725</v>
      </c>
      <c r="G3" s="44">
        <f>IFERROR(__xludf.DUMMYFUNCTION("""COMPUTED_VALUE"""),5760697.0)</f>
        <v>5760697</v>
      </c>
      <c r="H3" s="24"/>
      <c r="I3" s="44">
        <f>IFERROR(__xludf.DUMMYFUNCTION("""COMPUTED_VALUE"""),683100.0)</f>
        <v>683100</v>
      </c>
      <c r="J3" s="44">
        <f>IFERROR(__xludf.DUMMYFUNCTION("""COMPUTED_VALUE"""),2085820.0)</f>
        <v>2085820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IFERROR(__xludf.DUMMYFUNCTION("""COMPUTED_VALUE"""),4.3156627E7)</f>
        <v>43156627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75">
        <f>IFERROR(__xludf.DUMMYFUNCTION("""COMPUTED_VALUE"""),2.853576E7)</f>
        <v>28535760</v>
      </c>
      <c r="C11" s="62">
        <f>IFERROR(__xludf.DUMMYFUNCTION("""COMPUTED_VALUE"""),3002945.0)</f>
        <v>3002945</v>
      </c>
      <c r="D11" s="62">
        <f>IFERROR(__xludf.DUMMYFUNCTION("""COMPUTED_VALUE"""),339680.0)</f>
        <v>339680</v>
      </c>
      <c r="E11" s="62">
        <f>IFERROR(__xludf.DUMMYFUNCTION("""COMPUTED_VALUE"""),1065900.0)</f>
        <v>1065900</v>
      </c>
      <c r="F11" s="62">
        <f>IFERROR(__xludf.DUMMYFUNCTION("""COMPUTED_VALUE"""),1682725.0)</f>
        <v>1682725</v>
      </c>
      <c r="G11" s="62">
        <f>IFERROR(__xludf.DUMMYFUNCTION("""COMPUTED_VALUE"""),5760697.0)</f>
        <v>5760697</v>
      </c>
      <c r="H11" s="24"/>
      <c r="I11" s="62">
        <f>IFERROR(__xludf.DUMMYFUNCTION("""COMPUTED_VALUE"""),683100.0)</f>
        <v>683100</v>
      </c>
      <c r="J11" s="62">
        <f>IFERROR(__xludf.DUMMYFUNCTION("""COMPUTED_VALUE"""),2085820.0)</f>
        <v>2085820</v>
      </c>
      <c r="K11" s="62"/>
      <c r="L11" s="62"/>
      <c r="M11" s="62"/>
      <c r="N11" s="62"/>
      <c r="O11" s="46">
        <f>IFERROR(__xludf.DUMMYFUNCTION("""COMPUTED_VALUE"""),4.3156627E7)</f>
        <v>43156627</v>
      </c>
      <c r="P11" s="47">
        <f>IFERROR(__xludf.DUMMYFUNCTION("""COMPUTED_VALUE"""),1.0)</f>
        <v>1</v>
      </c>
      <c r="Q11" s="16"/>
    </row>
    <row r="12" ht="15.0" customHeight="1">
      <c r="A12" s="3" t="str">
        <f>IFERROR(__xludf.DUMMYFUNCTION("""COMPUTED_VALUE"""),"経営投資")</f>
        <v>経営投資</v>
      </c>
      <c r="B12" s="63"/>
      <c r="C12" s="63"/>
      <c r="D12" s="63"/>
      <c r="E12" s="63"/>
      <c r="F12" s="63"/>
      <c r="G12" s="63"/>
      <c r="H12" s="24"/>
      <c r="I12" s="63"/>
      <c r="J12" s="63"/>
      <c r="K12" s="63"/>
      <c r="L12" s="63"/>
      <c r="M12" s="63"/>
      <c r="N12" s="63"/>
      <c r="O12" s="46">
        <f>IFERROR(__xludf.DUMMYFUNCTION("""COMPUTED_VALUE"""),0.0)</f>
        <v>0</v>
      </c>
      <c r="P12" s="47">
        <f>IFERROR(__xludf.DUMMYFUNCTION("""COMPUTED_VALUE"""),0.0)</f>
        <v>0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IFERROR(__xludf.DUMMYFUNCTION("""COMPUTED_VALUE"""),0.0)</f>
        <v>0</v>
      </c>
      <c r="C16" s="44">
        <f>IFERROR(__xludf.DUMMYFUNCTION("""COMPUTED_VALUE"""),0.0)</f>
        <v>0</v>
      </c>
      <c r="D16" s="44">
        <f>IFERROR(__xludf.DUMMYFUNCTION("""COMPUTED_VALUE"""),0.0)</f>
        <v>0</v>
      </c>
      <c r="E16" s="44">
        <f>IFERROR(__xludf.DUMMYFUNCTION("""COMPUTED_VALUE"""),0.0)</f>
        <v>0</v>
      </c>
      <c r="F16" s="44">
        <f>IFERROR(__xludf.DUMMYFUNCTION("""COMPUTED_VALUE"""),0.0)</f>
        <v>0</v>
      </c>
      <c r="G16" s="44">
        <f>IFERROR(__xludf.DUMMYFUNCTION("""COMPUTED_VALUE"""),0.0)</f>
        <v>0</v>
      </c>
      <c r="H16" s="24"/>
      <c r="I16" s="44">
        <f>IFERROR(__xludf.DUMMYFUNCTION("""COMPUTED_VALUE"""),0.0)</f>
        <v>0</v>
      </c>
      <c r="J16" s="44">
        <f>IFERROR(__xludf.DUMMYFUNCTION("""COMPUTED_VALUE"""),0.0)</f>
        <v>0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IFERROR(__xludf.DUMMYFUNCTION("""COMPUTED_VALUE"""),0.0)</f>
        <v>0</v>
      </c>
      <c r="P16" s="45">
        <f>IFERROR(__xludf.DUMMYFUNCTION("""COMPUTED_VALUE"""),0.0)</f>
        <v>0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 t="str">
        <f>IFERROR(__xludf.DUMMYFUNCTION("""COMPUTED_VALUE"""),"")</f>
        <v/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 t="str">
        <f>IFERROR(__xludf.DUMMYFUNCTION("""COMPUTED_VALUE"""),"")</f>
        <v/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 t="str">
        <f>IFERROR(__xludf.DUMMYFUNCTION("""COMPUTED_VALUE"""),"")</f>
        <v/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 t="str">
        <f>IFERROR(__xludf.DUMMYFUNCTION("""COMPUTED_VALUE"""),"")</f>
        <v/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 t="str">
        <f>IFERROR(__xludf.DUMMYFUNCTION("""COMPUTED_VALUE"""),"")</f>
        <v/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 t="str">
        <f>IFERROR(__xludf.DUMMYFUNCTION("""COMPUTED_VALUE"""),"")</f>
        <v/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 t="str">
        <f>IFERROR(__xludf.DUMMYFUNCTION("""COMPUTED_VALUE"""),"")</f>
        <v/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>
        <f>IFERROR(__xludf.DUMMYFUNCTION("""COMPUTED_VALUE"""),0.0)</f>
        <v>0</v>
      </c>
      <c r="C24" s="63">
        <f>IFERROR(__xludf.DUMMYFUNCTION("""COMPUTED_VALUE"""),0.0)</f>
        <v>0</v>
      </c>
      <c r="D24" s="63">
        <f>IFERROR(__xludf.DUMMYFUNCTION("""COMPUTED_VALUE"""),0.0)</f>
        <v>0</v>
      </c>
      <c r="E24" s="63">
        <f>IFERROR(__xludf.DUMMYFUNCTION("""COMPUTED_VALUE"""),0.0)</f>
        <v>0</v>
      </c>
      <c r="F24" s="63">
        <f>IFERROR(__xludf.DUMMYFUNCTION("""COMPUTED_VALUE"""),0.0)</f>
        <v>0</v>
      </c>
      <c r="G24" s="63">
        <f>IFERROR(__xludf.DUMMYFUNCTION("""COMPUTED_VALUE"""),0.0)</f>
        <v>0</v>
      </c>
      <c r="H24" s="24"/>
      <c r="I24" s="63"/>
      <c r="J24" s="63"/>
      <c r="K24" s="63">
        <f>IFERROR(__xludf.DUMMYFUNCTION("""COMPUTED_VALUE"""),0.0)</f>
        <v>0</v>
      </c>
      <c r="L24" s="63">
        <f>IFERROR(__xludf.DUMMYFUNCTION("""COMPUTED_VALUE"""),0.0)</f>
        <v>0</v>
      </c>
      <c r="M24" s="63">
        <f>IFERROR(__xludf.DUMMYFUNCTION("""COMPUTED_VALUE"""),0.0)</f>
        <v>0</v>
      </c>
      <c r="N24" s="63"/>
      <c r="O24" s="46">
        <f>IFERROR(__xludf.DUMMYFUNCTION("""COMPUTED_VALUE"""),0.0)</f>
        <v>0</v>
      </c>
      <c r="P24" s="47" t="str">
        <f>IFERROR(__xludf.DUMMYFUNCTION("""COMPUTED_VALUE"""),"")</f>
        <v/>
      </c>
      <c r="Q24" s="16"/>
    </row>
    <row r="25" ht="16.5" customHeight="1">
      <c r="A25" s="3" t="str">
        <f>IFERROR(__xludf.DUMMYFUNCTION("""COMPUTED_VALUE"""),"経営投資")</f>
        <v>経営投資</v>
      </c>
      <c r="B25" s="63"/>
      <c r="C25" s="63"/>
      <c r="D25" s="63"/>
      <c r="E25" s="63"/>
      <c r="F25" s="63"/>
      <c r="G25" s="63"/>
      <c r="H25" s="24"/>
      <c r="I25" s="63"/>
      <c r="J25" s="63"/>
      <c r="K25" s="63"/>
      <c r="L25" s="63"/>
      <c r="M25" s="63"/>
      <c r="N25" s="63"/>
      <c r="O25" s="46">
        <f>IFERROR(__xludf.DUMMYFUNCTION("""COMPUTED_VALUE"""),0.0)</f>
        <v>0</v>
      </c>
      <c r="P25" s="47" t="str">
        <f>IFERROR(__xludf.DUMMYFUNCTION("""COMPUTED_VALUE"""),"")</f>
        <v/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 t="str">
        <f>IFERROR(__xludf.DUMMYFUNCTION("""COMPUTED_VALUE"""),"")</f>
        <v/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 t="str">
        <f>IFERROR(__xludf.DUMMYFUNCTION("""COMPUTED_VALUE"""),"")</f>
        <v/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 t="str">
        <f>IFERROR(__xludf.DUMMYFUNCTION("""COMPUTED_VALUE"""),"")</f>
        <v/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IFERROR(__xludf.DUMMYFUNCTION("""COMPUTED_VALUE"""),2.853576E7)</f>
        <v>28535760</v>
      </c>
      <c r="C29" s="44">
        <f>IFERROR(__xludf.DUMMYFUNCTION("""COMPUTED_VALUE"""),3002945.0)</f>
        <v>3002945</v>
      </c>
      <c r="D29" s="44">
        <f>IFERROR(__xludf.DUMMYFUNCTION("""COMPUTED_VALUE"""),339680.0)</f>
        <v>339680</v>
      </c>
      <c r="E29" s="44">
        <f>IFERROR(__xludf.DUMMYFUNCTION("""COMPUTED_VALUE"""),1065900.0)</f>
        <v>1065900</v>
      </c>
      <c r="F29" s="44">
        <f>IFERROR(__xludf.DUMMYFUNCTION("""COMPUTED_VALUE"""),1682725.0)</f>
        <v>1682725</v>
      </c>
      <c r="G29" s="44">
        <f>IFERROR(__xludf.DUMMYFUNCTION("""COMPUTED_VALUE"""),5760697.0)</f>
        <v>5760697</v>
      </c>
      <c r="H29" s="24"/>
      <c r="I29" s="44">
        <f>IFERROR(__xludf.DUMMYFUNCTION("""COMPUTED_VALUE"""),683100.0)</f>
        <v>683100</v>
      </c>
      <c r="J29" s="44">
        <f>IFERROR(__xludf.DUMMYFUNCTION("""COMPUTED_VALUE"""),2085820.0)</f>
        <v>2085820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IFERROR(__xludf.DUMMYFUNCTION("""COMPUTED_VALUE"""),4.3156627E7)</f>
        <v>43156627</v>
      </c>
      <c r="P29" s="45">
        <f>IFERROR(__xludf.DUMMYFUNCTION("""COMPUTED_VALUE"""),1.0)</f>
        <v>1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4">
        <f>IFERROR(__xludf.DUMMYFUNCTION("""COMPUTED_VALUE"""),2.853576E7)</f>
        <v>28535760</v>
      </c>
      <c r="C37" s="64">
        <f>IFERROR(__xludf.DUMMYFUNCTION("""COMPUTED_VALUE"""),3002945.0)</f>
        <v>3002945</v>
      </c>
      <c r="D37" s="64">
        <f>IFERROR(__xludf.DUMMYFUNCTION("""COMPUTED_VALUE"""),339680.0)</f>
        <v>339680</v>
      </c>
      <c r="E37" s="64">
        <f>IFERROR(__xludf.DUMMYFUNCTION("""COMPUTED_VALUE"""),1065900.0)</f>
        <v>1065900</v>
      </c>
      <c r="F37" s="64">
        <f>IFERROR(__xludf.DUMMYFUNCTION("""COMPUTED_VALUE"""),1682725.0)</f>
        <v>1682725</v>
      </c>
      <c r="G37" s="64">
        <f>IFERROR(__xludf.DUMMYFUNCTION("""COMPUTED_VALUE"""),5760697.0)</f>
        <v>5760697</v>
      </c>
      <c r="H37" s="76"/>
      <c r="I37" s="64">
        <f>IFERROR(__xludf.DUMMYFUNCTION("""COMPUTED_VALUE"""),683100.0)</f>
        <v>683100</v>
      </c>
      <c r="J37" s="64">
        <f>IFERROR(__xludf.DUMMYFUNCTION("""COMPUTED_VALUE"""),2085820.0)</f>
        <v>2085820</v>
      </c>
      <c r="K37" s="64" t="str">
        <f>IFERROR(__xludf.DUMMYFUNCTION("""COMPUTED_VALUE"""),"")</f>
        <v/>
      </c>
      <c r="L37" s="64" t="str">
        <f>IFERROR(__xludf.DUMMYFUNCTION("""COMPUTED_VALUE"""),"")</f>
        <v/>
      </c>
      <c r="M37" s="64" t="str">
        <f>IFERROR(__xludf.DUMMYFUNCTION("""COMPUTED_VALUE"""),"")</f>
        <v/>
      </c>
      <c r="N37" s="64" t="str">
        <f>IFERROR(__xludf.DUMMYFUNCTION("""COMPUTED_VALUE"""),"")</f>
        <v/>
      </c>
      <c r="O37" s="46">
        <f>IFERROR(__xludf.DUMMYFUNCTION("""COMPUTED_VALUE"""),4.3156627E7)</f>
        <v>43156627</v>
      </c>
      <c r="P37" s="47">
        <f>IFERROR(__xludf.DUMMYFUNCTION("""COMPUTED_VALUE"""),1.0)</f>
        <v>1</v>
      </c>
      <c r="Q37" s="16"/>
    </row>
    <row r="38" ht="15.75" customHeight="1">
      <c r="A38" s="3" t="str">
        <f>IFERROR(__xludf.DUMMYFUNCTION("""COMPUTED_VALUE"""),"経営投資")</f>
        <v>経営投資</v>
      </c>
      <c r="B38" s="65" t="str">
        <f>IFERROR(__xludf.DUMMYFUNCTION("""COMPUTED_VALUE"""),"")</f>
        <v/>
      </c>
      <c r="C38" s="65" t="str">
        <f>IFERROR(__xludf.DUMMYFUNCTION("""COMPUTED_VALUE"""),"")</f>
        <v/>
      </c>
      <c r="D38" s="65" t="str">
        <f>IFERROR(__xludf.DUMMYFUNCTION("""COMPUTED_VALUE"""),"")</f>
        <v/>
      </c>
      <c r="E38" s="65" t="str">
        <f>IFERROR(__xludf.DUMMYFUNCTION("""COMPUTED_VALUE"""),"")</f>
        <v/>
      </c>
      <c r="F38" s="65" t="str">
        <f>IFERROR(__xludf.DUMMYFUNCTION("""COMPUTED_VALUE"""),"")</f>
        <v/>
      </c>
      <c r="G38" s="65" t="str">
        <f>IFERROR(__xludf.DUMMYFUNCTION("""COMPUTED_VALUE"""),"")</f>
        <v/>
      </c>
      <c r="H38" s="66"/>
      <c r="I38" s="65" t="str">
        <f>IFERROR(__xludf.DUMMYFUNCTION("""COMPUTED_VALUE"""),"")</f>
        <v/>
      </c>
      <c r="J38" s="65" t="str">
        <f>IFERROR(__xludf.DUMMYFUNCTION("""COMPUTED_VALUE"""),"")</f>
        <v/>
      </c>
      <c r="K38" s="65" t="str">
        <f>IFERROR(__xludf.DUMMYFUNCTION("""COMPUTED_VALUE"""),"")</f>
        <v/>
      </c>
      <c r="L38" s="65" t="str">
        <f>IFERROR(__xludf.DUMMYFUNCTION("""COMPUTED_VALUE"""),"")</f>
        <v/>
      </c>
      <c r="M38" s="65" t="str">
        <f>IFERROR(__xludf.DUMMYFUNCTION("""COMPUTED_VALUE"""),"")</f>
        <v/>
      </c>
      <c r="N38" s="65" t="str">
        <f>IFERROR(__xludf.DUMMYFUNCTION("""COMPUTED_VALUE"""),"")</f>
        <v/>
      </c>
      <c r="O38" s="46">
        <f>IFERROR(__xludf.DUMMYFUNCTION("""COMPUTED_VALUE"""),0.0)</f>
        <v>0</v>
      </c>
      <c r="P38" s="47">
        <f>IFERROR(__xludf.DUMMYFUNCTION("""COMPUTED_VALUE"""),0.0)</f>
        <v>0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IFERROR(__xludf.DUMMYFUNCTION("""COMPUTED_VALUE"""),1.0)</f>
        <v>1</v>
      </c>
      <c r="C42" s="49">
        <f>IFERROR(__xludf.DUMMYFUNCTION("""COMPUTED_VALUE"""),1.0)</f>
        <v>1</v>
      </c>
      <c r="D42" s="49">
        <f>IFERROR(__xludf.DUMMYFUNCTION("""COMPUTED_VALUE"""),1.0)</f>
        <v>1</v>
      </c>
      <c r="E42" s="49">
        <f>IFERROR(__xludf.DUMMYFUNCTION("""COMPUTED_VALUE"""),1.0)</f>
        <v>1</v>
      </c>
      <c r="F42" s="49">
        <f>IFERROR(__xludf.DUMMYFUNCTION("""COMPUTED_VALUE"""),1.0)</f>
        <v>1</v>
      </c>
      <c r="G42" s="49">
        <f>IFERROR(__xludf.DUMMYFUNCTION("""COMPUTED_VALUE"""),1.0)</f>
        <v>1</v>
      </c>
      <c r="H42" s="16"/>
      <c r="I42" s="49">
        <f>IFERROR(__xludf.DUMMYFUNCTION("""COMPUTED_VALUE"""),1.0)</f>
        <v>1</v>
      </c>
      <c r="J42" s="49">
        <f>IFERROR(__xludf.DUMMYFUNCTION("""COMPUTED_VALUE"""),1.0)</f>
        <v>1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IFERROR(__xludf.DUMMYFUNCTION("""COMPUTED_VALUE"""),1.0)</f>
        <v>1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IFERROR(__xludf.DUMMYFUNCTION("""COMPUTED_VALUE"""),1.3997779363636363E7)</f>
        <v>13997779.36</v>
      </c>
      <c r="C44" s="44">
        <f>IFERROR(__xludf.DUMMYFUNCTION("""COMPUTED_VALUE"""),4927658.818181818)</f>
        <v>4927658.818</v>
      </c>
      <c r="D44" s="44">
        <f>IFERROR(__xludf.DUMMYFUNCTION("""COMPUTED_VALUE"""),1.0961828636363637E7)</f>
        <v>10961828.64</v>
      </c>
      <c r="E44" s="44">
        <f>IFERROR(__xludf.DUMMYFUNCTION("""COMPUTED_VALUE"""),7725380.0)</f>
        <v>7725380</v>
      </c>
      <c r="F44" s="44">
        <f>IFERROR(__xludf.DUMMYFUNCTION("""COMPUTED_VALUE"""),5756347.090909091)</f>
        <v>5756347.091</v>
      </c>
      <c r="G44" s="44">
        <f>IFERROR(__xludf.DUMMYFUNCTION("""COMPUTED_VALUE"""),1.1436665454545455E7)</f>
        <v>11436665.45</v>
      </c>
      <c r="H44" s="49"/>
      <c r="I44" s="44">
        <f>IFERROR(__xludf.DUMMYFUNCTION("""COMPUTED_VALUE"""),6304415.818181818)</f>
        <v>6304415.818</v>
      </c>
      <c r="J44" s="44">
        <f>IFERROR(__xludf.DUMMYFUNCTION("""COMPUTED_VALUE"""),6115494.818181818)</f>
        <v>6115494.818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IFERROR(__xludf.DUMMYFUNCTION("""COMPUTED_VALUE"""),6.722557E7)</f>
        <v>67225570</v>
      </c>
      <c r="P44" s="56">
        <f>IFERROR(__xludf.DUMMYFUNCTION("""COMPUTED_VALUE"""),1.5577114031641073)</f>
        <v>1.557711403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IFERROR(__xludf.DUMMYFUNCTION("""COMPUTED_VALUE"""),118497.0)</f>
        <v>118497</v>
      </c>
      <c r="C45" s="24">
        <f>IFERROR(__xludf.DUMMYFUNCTION("""COMPUTED_VALUE"""),37029.0)</f>
        <v>37029</v>
      </c>
      <c r="D45" s="24">
        <f>IFERROR(__xludf.DUMMYFUNCTION("""COMPUTED_VALUE"""),38210.0)</f>
        <v>38210</v>
      </c>
      <c r="E45" s="24">
        <f>IFERROR(__xludf.DUMMYFUNCTION("""COMPUTED_VALUE"""),38301.0)</f>
        <v>38301</v>
      </c>
      <c r="F45" s="24">
        <f>IFERROR(__xludf.DUMMYFUNCTION("""COMPUTED_VALUE"""),51761.0)</f>
        <v>51761</v>
      </c>
      <c r="G45" s="24">
        <f>IFERROR(__xludf.DUMMYFUNCTION("""COMPUTED_VALUE"""),56333.0)</f>
        <v>56333</v>
      </c>
      <c r="H45" s="24">
        <f>IFERROR(__xludf.DUMMYFUNCTION("""COMPUTED_VALUE"""),0.0)</f>
        <v>0</v>
      </c>
      <c r="I45" s="24">
        <f>IFERROR(__xludf.DUMMYFUNCTION("""COMPUTED_VALUE"""),128175.0)</f>
        <v>128175</v>
      </c>
      <c r="J45" s="24">
        <f>IFERROR(__xludf.DUMMYFUNCTION("""COMPUTED_VALUE"""),35432.0)</f>
        <v>35432</v>
      </c>
      <c r="K45" s="24">
        <f>IFERROR(__xludf.DUMMYFUNCTION("""COMPUTED_VALUE"""),0.0)</f>
        <v>0</v>
      </c>
      <c r="L45" s="24">
        <f>IFERROR(__xludf.DUMMYFUNCTION("""COMPUTED_VALUE"""),0.0)</f>
        <v>0</v>
      </c>
      <c r="M45" s="24">
        <f>IFERROR(__xludf.DUMMYFUNCTION("""COMPUTED_VALUE"""),0.0)</f>
        <v>0</v>
      </c>
      <c r="N45" s="24">
        <f>IFERROR(__xludf.DUMMYFUNCTION("""COMPUTED_VALUE"""),0.0)</f>
        <v>0</v>
      </c>
      <c r="O45" s="24">
        <f>IFERROR(__xludf.DUMMYFUNCTION("""COMPUTED_VALUE"""),503738.0)</f>
        <v>503738</v>
      </c>
      <c r="P45" s="16">
        <f>IFERROR(__xludf.DUMMYFUNCTION("""COMPUTED_VALUE"""),0.007493249964262111)</f>
        <v>0.007493249964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IFERROR(__xludf.DUMMYFUNCTION("""COMPUTED_VALUE"""),5476.0)</f>
        <v>5476</v>
      </c>
      <c r="C46" s="11">
        <f>IFERROR(__xludf.DUMMYFUNCTION("""COMPUTED_VALUE"""),4698.0)</f>
        <v>4698</v>
      </c>
      <c r="D46" s="11">
        <f>IFERROR(__xludf.DUMMYFUNCTION("""COMPUTED_VALUE"""),5804.0)</f>
        <v>5804</v>
      </c>
      <c r="E46" s="11">
        <f>IFERROR(__xludf.DUMMYFUNCTION("""COMPUTED_VALUE"""),5990.0)</f>
        <v>5990</v>
      </c>
      <c r="F46" s="11">
        <f>IFERROR(__xludf.DUMMYFUNCTION("""COMPUTED_VALUE"""),6570.0)</f>
        <v>6570</v>
      </c>
      <c r="G46" s="11">
        <f>IFERROR(__xludf.DUMMYFUNCTION("""COMPUTED_VALUE"""),6208.0)</f>
        <v>6208</v>
      </c>
      <c r="H46" s="66"/>
      <c r="I46" s="11">
        <f>IFERROR(__xludf.DUMMYFUNCTION("""COMPUTED_VALUE"""),4976.0)</f>
        <v>4976</v>
      </c>
      <c r="J46" s="11">
        <f>IFERROR(__xludf.DUMMYFUNCTION("""COMPUTED_VALUE"""),5003.0)</f>
        <v>5003</v>
      </c>
      <c r="K46" s="11"/>
      <c r="L46" s="11"/>
      <c r="M46" s="11"/>
      <c r="N46" s="11"/>
      <c r="O46" s="77">
        <f>IFERROR(__xludf.DUMMYFUNCTION("""COMPUTED_VALUE"""),44725.0)</f>
        <v>44725</v>
      </c>
      <c r="P46" s="78">
        <f>IFERROR(__xludf.DUMMYFUNCTION("""COMPUTED_VALUE"""),0.08878623411376549)</f>
        <v>0.08878623411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IFERROR(__xludf.DUMMYFUNCTION("""COMPUTED_VALUE"""),10508.0)</f>
        <v>10508</v>
      </c>
      <c r="C47" s="11">
        <f>IFERROR(__xludf.DUMMYFUNCTION("""COMPUTED_VALUE"""),5294.0)</f>
        <v>5294</v>
      </c>
      <c r="D47" s="11">
        <f>IFERROR(__xludf.DUMMYFUNCTION("""COMPUTED_VALUE"""),5416.0)</f>
        <v>5416</v>
      </c>
      <c r="E47" s="11">
        <f>IFERROR(__xludf.DUMMYFUNCTION("""COMPUTED_VALUE"""),1994.0)</f>
        <v>1994</v>
      </c>
      <c r="F47" s="11">
        <f>IFERROR(__xludf.DUMMYFUNCTION("""COMPUTED_VALUE"""),3542.0)</f>
        <v>3542</v>
      </c>
      <c r="G47" s="11">
        <f>IFERROR(__xludf.DUMMYFUNCTION("""COMPUTED_VALUE"""),24966.0)</f>
        <v>24966</v>
      </c>
      <c r="H47" s="66"/>
      <c r="I47" s="11">
        <f>IFERROR(__xludf.DUMMYFUNCTION("""COMPUTED_VALUE"""),4580.0)</f>
        <v>4580</v>
      </c>
      <c r="J47" s="11">
        <f>IFERROR(__xludf.DUMMYFUNCTION("""COMPUTED_VALUE"""),3888.0)</f>
        <v>3888</v>
      </c>
      <c r="K47" s="11"/>
      <c r="L47" s="11"/>
      <c r="M47" s="11"/>
      <c r="N47" s="11"/>
      <c r="O47" s="77">
        <f>IFERROR(__xludf.DUMMYFUNCTION("""COMPUTED_VALUE"""),60188.0)</f>
        <v>60188</v>
      </c>
      <c r="P47" s="78">
        <f>IFERROR(__xludf.DUMMYFUNCTION("""COMPUTED_VALUE"""),0.11948274698355098)</f>
        <v>0.119482747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IFERROR(__xludf.DUMMYFUNCTION("""COMPUTED_VALUE"""),32970.0)</f>
        <v>32970</v>
      </c>
      <c r="C48" s="11">
        <f>IFERROR(__xludf.DUMMYFUNCTION("""COMPUTED_VALUE"""),27037.0)</f>
        <v>27037</v>
      </c>
      <c r="D48" s="11">
        <f>IFERROR(__xludf.DUMMYFUNCTION("""COMPUTED_VALUE"""),26990.0)</f>
        <v>26990</v>
      </c>
      <c r="E48" s="11">
        <f>IFERROR(__xludf.DUMMYFUNCTION("""COMPUTED_VALUE"""),30317.0)</f>
        <v>30317</v>
      </c>
      <c r="F48" s="11">
        <f>IFERROR(__xludf.DUMMYFUNCTION("""COMPUTED_VALUE"""),41649.0)</f>
        <v>41649</v>
      </c>
      <c r="G48" s="11">
        <f>IFERROR(__xludf.DUMMYFUNCTION("""COMPUTED_VALUE"""),25159.0)</f>
        <v>25159</v>
      </c>
      <c r="H48" s="66"/>
      <c r="I48" s="11">
        <f>IFERROR(__xludf.DUMMYFUNCTION("""COMPUTED_VALUE"""),118619.0)</f>
        <v>118619</v>
      </c>
      <c r="J48" s="11">
        <f>IFERROR(__xludf.DUMMYFUNCTION("""COMPUTED_VALUE"""),26541.0)</f>
        <v>26541</v>
      </c>
      <c r="K48" s="11"/>
      <c r="L48" s="11"/>
      <c r="M48" s="11"/>
      <c r="N48" s="11"/>
      <c r="O48" s="77">
        <f>IFERROR(__xludf.DUMMYFUNCTION("""COMPUTED_VALUE"""),329282.0)</f>
        <v>329282</v>
      </c>
      <c r="P48" s="78">
        <f>IFERROR(__xludf.DUMMYFUNCTION("""COMPUTED_VALUE"""),0.6536771099261918)</f>
        <v>0.6536771099</v>
      </c>
      <c r="Q48" s="16"/>
    </row>
    <row r="49" ht="15.75" customHeight="1">
      <c r="A49" s="51" t="str">
        <f>IFERROR(__xludf.DUMMYFUNCTION("""COMPUTED_VALUE"""),"その他")</f>
        <v>その他</v>
      </c>
      <c r="B49" s="67">
        <f>IFERROR(__xludf.DUMMYFUNCTION("""COMPUTED_VALUE"""),69543.0)</f>
        <v>69543</v>
      </c>
      <c r="C49" s="11"/>
      <c r="D49" s="11"/>
      <c r="E49" s="11">
        <f>IFERROR(__xludf.DUMMYFUNCTION("""COMPUTED_VALUE"""),0.0)</f>
        <v>0</v>
      </c>
      <c r="F49" s="11">
        <f>IFERROR(__xludf.DUMMYFUNCTION("""COMPUTED_VALUE"""),0.0)</f>
        <v>0</v>
      </c>
      <c r="G49" s="11">
        <f>IFERROR(__xludf.DUMMYFUNCTION("""COMPUTED_VALUE"""),0.0)</f>
        <v>0</v>
      </c>
      <c r="H49" s="66"/>
      <c r="I49" s="11">
        <f>IFERROR(__xludf.DUMMYFUNCTION("""COMPUTED_VALUE"""),0.0)</f>
        <v>0</v>
      </c>
      <c r="J49" s="11">
        <f>IFERROR(__xludf.DUMMYFUNCTION("""COMPUTED_VALUE"""),0.0)</f>
        <v>0</v>
      </c>
      <c r="K49" s="11"/>
      <c r="L49" s="11"/>
      <c r="M49" s="11"/>
      <c r="N49" s="11"/>
      <c r="O49" s="77">
        <f>IFERROR(__xludf.DUMMYFUNCTION("""COMPUTED_VALUE"""),69543.0)</f>
        <v>69543</v>
      </c>
      <c r="P49" s="78">
        <f>IFERROR(__xludf.DUMMYFUNCTION("""COMPUTED_VALUE"""),0.13805390897649175)</f>
        <v>0.138053909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11"/>
      <c r="D50" s="11"/>
      <c r="E50" s="11">
        <f>IFERROR(__xludf.DUMMYFUNCTION("""COMPUTED_VALUE"""),0.0)</f>
        <v>0</v>
      </c>
      <c r="F50" s="11">
        <f>IFERROR(__xludf.DUMMYFUNCTION("""COMPUTED_VALUE"""),0.0)</f>
        <v>0</v>
      </c>
      <c r="G50" s="11">
        <f>IFERROR(__xludf.DUMMYFUNCTION("""COMPUTED_VALUE"""),0.0)</f>
        <v>0</v>
      </c>
      <c r="H50" s="66"/>
      <c r="I50" s="11">
        <f>IFERROR(__xludf.DUMMYFUNCTION("""COMPUTED_VALUE"""),0.0)</f>
        <v>0</v>
      </c>
      <c r="J50" s="11">
        <f>IFERROR(__xludf.DUMMYFUNCTION("""COMPUTED_VALUE"""),0.0)</f>
        <v>0</v>
      </c>
      <c r="K50" s="11"/>
      <c r="L50" s="11"/>
      <c r="M50" s="11"/>
      <c r="N50" s="11"/>
      <c r="O50" s="24">
        <f>IFERROR(__xludf.DUMMYFUNCTION("""COMPUTED_VALUE"""),0.0)</f>
        <v>0</v>
      </c>
      <c r="P50" s="16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IFERROR(__xludf.DUMMYFUNCTION("""COMPUTED_VALUE"""),16478.0)</f>
        <v>16478</v>
      </c>
      <c r="C51" s="11">
        <f>IFERROR(__xludf.DUMMYFUNCTION("""COMPUTED_VALUE"""),8678.0)</f>
        <v>8678</v>
      </c>
      <c r="D51" s="11">
        <f>IFERROR(__xludf.DUMMYFUNCTION("""COMPUTED_VALUE"""),187778.0)</f>
        <v>187778</v>
      </c>
      <c r="E51" s="11">
        <f>IFERROR(__xludf.DUMMYFUNCTION("""COMPUTED_VALUE"""),188144.0)</f>
        <v>188144</v>
      </c>
      <c r="F51" s="11">
        <f>IFERROR(__xludf.DUMMYFUNCTION("""COMPUTED_VALUE"""),5351.0)</f>
        <v>5351</v>
      </c>
      <c r="G51" s="11">
        <f>IFERROR(__xludf.DUMMYFUNCTION("""COMPUTED_VALUE"""),105862.0)</f>
        <v>105862</v>
      </c>
      <c r="H51" s="66"/>
      <c r="I51" s="11">
        <f>IFERROR(__xludf.DUMMYFUNCTION("""COMPUTED_VALUE"""),21946.0)</f>
        <v>21946</v>
      </c>
      <c r="J51" s="11">
        <f>IFERROR(__xludf.DUMMYFUNCTION("""COMPUTED_VALUE"""),51828.0)</f>
        <v>51828</v>
      </c>
      <c r="K51" s="11"/>
      <c r="L51" s="11"/>
      <c r="M51" s="11"/>
      <c r="N51" s="11"/>
      <c r="O51" s="24">
        <f>IFERROR(__xludf.DUMMYFUNCTION("""COMPUTED_VALUE"""),586065.0)</f>
        <v>586065</v>
      </c>
      <c r="P51" s="16">
        <f>IFERROR(__xludf.DUMMYFUNCTION("""COMPUTED_VALUE"""),0.008717888148810044)</f>
        <v>0.008717888149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IFERROR(__xludf.DUMMYFUNCTION("""COMPUTED_VALUE"""),149600.0)</f>
        <v>149600</v>
      </c>
      <c r="C52" s="24">
        <f>IFERROR(__xludf.DUMMYFUNCTION("""COMPUTED_VALUE"""),50600.0)</f>
        <v>50600</v>
      </c>
      <c r="D52" s="24">
        <f>IFERROR(__xludf.DUMMYFUNCTION("""COMPUTED_VALUE"""),2544800.0)</f>
        <v>2544800</v>
      </c>
      <c r="E52" s="24">
        <f>IFERROR(__xludf.DUMMYFUNCTION("""COMPUTED_VALUE"""),50600.0)</f>
        <v>50600</v>
      </c>
      <c r="F52" s="24">
        <f>IFERROR(__xludf.DUMMYFUNCTION("""COMPUTED_VALUE"""),50600.0)</f>
        <v>50600</v>
      </c>
      <c r="G52" s="24">
        <f>IFERROR(__xludf.DUMMYFUNCTION("""COMPUTED_VALUE"""),472880.0)</f>
        <v>472880</v>
      </c>
      <c r="H52" s="24">
        <f>IFERROR(__xludf.DUMMYFUNCTION("""COMPUTED_VALUE"""),0.0)</f>
        <v>0</v>
      </c>
      <c r="I52" s="24">
        <f>IFERROR(__xludf.DUMMYFUNCTION("""COMPUTED_VALUE"""),49500.0)</f>
        <v>49500</v>
      </c>
      <c r="J52" s="24">
        <f>IFERROR(__xludf.DUMMYFUNCTION("""COMPUTED_VALUE"""),0.0)</f>
        <v>0</v>
      </c>
      <c r="K52" s="24">
        <f>IFERROR(__xludf.DUMMYFUNCTION("""COMPUTED_VALUE"""),0.0)</f>
        <v>0</v>
      </c>
      <c r="L52" s="24">
        <f>IFERROR(__xludf.DUMMYFUNCTION("""COMPUTED_VALUE"""),0.0)</f>
        <v>0</v>
      </c>
      <c r="M52" s="24">
        <f>IFERROR(__xludf.DUMMYFUNCTION("""COMPUTED_VALUE"""),0.0)</f>
        <v>0</v>
      </c>
      <c r="N52" s="24">
        <f>IFERROR(__xludf.DUMMYFUNCTION("""COMPUTED_VALUE"""),0.0)</f>
        <v>0</v>
      </c>
      <c r="O52" s="24">
        <f>IFERROR(__xludf.DUMMYFUNCTION("""COMPUTED_VALUE"""),3368580.0)</f>
        <v>3368580</v>
      </c>
      <c r="P52" s="16">
        <f>IFERROR(__xludf.DUMMYFUNCTION("""COMPUTED_VALUE"""),0.05010861194631745)</f>
        <v>0.05010861195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11"/>
      <c r="D53" s="11"/>
      <c r="E53" s="11">
        <f>IFERROR(__xludf.DUMMYFUNCTION("""COMPUTED_VALUE"""),0.0)</f>
        <v>0</v>
      </c>
      <c r="F53" s="11">
        <f>IFERROR(__xludf.DUMMYFUNCTION("""COMPUTED_VALUE"""),0.0)</f>
        <v>0</v>
      </c>
      <c r="G53" s="11">
        <f>IFERROR(__xludf.DUMMYFUNCTION("""COMPUTED_VALUE"""),0.0)</f>
        <v>0</v>
      </c>
      <c r="H53" s="66"/>
      <c r="I53" s="11">
        <f>IFERROR(__xludf.DUMMYFUNCTION("""COMPUTED_VALUE"""),0.0)</f>
        <v>0</v>
      </c>
      <c r="J53" s="11">
        <f>IFERROR(__xludf.DUMMYFUNCTION("""COMPUTED_VALUE"""),0.0)</f>
        <v>0</v>
      </c>
      <c r="K53" s="11"/>
      <c r="L53" s="11"/>
      <c r="M53" s="11"/>
      <c r="N53" s="11"/>
      <c r="O53" s="77">
        <f>IFERROR(__xludf.DUMMYFUNCTION("""COMPUTED_VALUE"""),0.0)</f>
        <v>0</v>
      </c>
      <c r="P53" s="78">
        <f>IFERROR(__xludf.DUMMYFUNCTION("""COMPUTED_VALUE"""),0.0)</f>
        <v>0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11"/>
      <c r="D54" s="11"/>
      <c r="E54" s="11">
        <f>IFERROR(__xludf.DUMMYFUNCTION("""COMPUTED_VALUE"""),0.0)</f>
        <v>0</v>
      </c>
      <c r="F54" s="11">
        <f>IFERROR(__xludf.DUMMYFUNCTION("""COMPUTED_VALUE"""),0.0)</f>
        <v>0</v>
      </c>
      <c r="G54" s="11">
        <f>IFERROR(__xludf.DUMMYFUNCTION("""COMPUTED_VALUE"""),0.0)</f>
        <v>0</v>
      </c>
      <c r="H54" s="66"/>
      <c r="I54" s="11">
        <f>IFERROR(__xludf.DUMMYFUNCTION("""COMPUTED_VALUE"""),0.0)</f>
        <v>0</v>
      </c>
      <c r="J54" s="11">
        <f>IFERROR(__xludf.DUMMYFUNCTION("""COMPUTED_VALUE"""),0.0)</f>
        <v>0</v>
      </c>
      <c r="K54" s="11"/>
      <c r="L54" s="11"/>
      <c r="M54" s="11"/>
      <c r="N54" s="11"/>
      <c r="O54" s="77">
        <f>IFERROR(__xludf.DUMMYFUNCTION("""COMPUTED_VALUE"""),0.0)</f>
        <v>0</v>
      </c>
      <c r="P54" s="78">
        <f>IFERROR(__xludf.DUMMYFUNCTION("""COMPUTED_VALUE"""),0.0)</f>
        <v>0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11"/>
      <c r="D55" s="11"/>
      <c r="E55" s="11">
        <f>IFERROR(__xludf.DUMMYFUNCTION("""COMPUTED_VALUE"""),0.0)</f>
        <v>0</v>
      </c>
      <c r="F55" s="11">
        <f>IFERROR(__xludf.DUMMYFUNCTION("""COMPUTED_VALUE"""),0.0)</f>
        <v>0</v>
      </c>
      <c r="G55" s="11">
        <f>IFERROR(__xludf.DUMMYFUNCTION("""COMPUTED_VALUE"""),0.0)</f>
        <v>0</v>
      </c>
      <c r="H55" s="66"/>
      <c r="I55" s="11">
        <f>IFERROR(__xludf.DUMMYFUNCTION("""COMPUTED_VALUE"""),0.0)</f>
        <v>0</v>
      </c>
      <c r="J55" s="11">
        <f>IFERROR(__xludf.DUMMYFUNCTION("""COMPUTED_VALUE"""),0.0)</f>
        <v>0</v>
      </c>
      <c r="K55" s="11"/>
      <c r="L55" s="11"/>
      <c r="M55" s="11"/>
      <c r="N55" s="11"/>
      <c r="O55" s="77">
        <f>IFERROR(__xludf.DUMMYFUNCTION("""COMPUTED_VALUE"""),0.0)</f>
        <v>0</v>
      </c>
      <c r="P55" s="78">
        <f>IFERROR(__xludf.DUMMYFUNCTION("""COMPUTED_VALUE"""),0.0)</f>
        <v>0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67">
        <f>IFERROR(__xludf.DUMMYFUNCTION("""COMPUTED_VALUE"""),83600.0)</f>
        <v>83600</v>
      </c>
      <c r="C56" s="11">
        <f>IFERROR(__xludf.DUMMYFUNCTION("""COMPUTED_VALUE"""),50600.0)</f>
        <v>50600</v>
      </c>
      <c r="D56" s="11">
        <f>IFERROR(__xludf.DUMMYFUNCTION("""COMPUTED_VALUE"""),50600.0)</f>
        <v>50600</v>
      </c>
      <c r="E56" s="11">
        <f>IFERROR(__xludf.DUMMYFUNCTION("""COMPUTED_VALUE"""),50600.0)</f>
        <v>50600</v>
      </c>
      <c r="F56" s="11">
        <f>IFERROR(__xludf.DUMMYFUNCTION("""COMPUTED_VALUE"""),50600.0)</f>
        <v>50600</v>
      </c>
      <c r="G56" s="11">
        <f>IFERROR(__xludf.DUMMYFUNCTION("""COMPUTED_VALUE"""),50600.0)</f>
        <v>50600</v>
      </c>
      <c r="H56" s="66"/>
      <c r="I56" s="11">
        <f>IFERROR(__xludf.DUMMYFUNCTION("""COMPUTED_VALUE"""),49500.0)</f>
        <v>49500</v>
      </c>
      <c r="J56" s="11">
        <f>IFERROR(__xludf.DUMMYFUNCTION("""COMPUTED_VALUE"""),0.0)</f>
        <v>0</v>
      </c>
      <c r="K56" s="11"/>
      <c r="L56" s="11"/>
      <c r="M56" s="11"/>
      <c r="N56" s="11"/>
      <c r="O56" s="77">
        <f>IFERROR(__xludf.DUMMYFUNCTION("""COMPUTED_VALUE"""),386100.0)</f>
        <v>386100</v>
      </c>
      <c r="P56" s="78">
        <f>IFERROR(__xludf.DUMMYFUNCTION("""COMPUTED_VALUE"""),0.11461802896175836)</f>
        <v>0.114618029</v>
      </c>
      <c r="Q56" s="16"/>
    </row>
    <row r="57" ht="15.75" customHeight="1">
      <c r="A57" s="51" t="str">
        <f>IFERROR(__xludf.DUMMYFUNCTION("""COMPUTED_VALUE"""),"印刷関連")</f>
        <v>印刷関連</v>
      </c>
      <c r="B57" s="70"/>
      <c r="C57" s="11"/>
      <c r="D57" s="11"/>
      <c r="E57" s="11">
        <f>IFERROR(__xludf.DUMMYFUNCTION("""COMPUTED_VALUE"""),0.0)</f>
        <v>0</v>
      </c>
      <c r="F57" s="11">
        <f>IFERROR(__xludf.DUMMYFUNCTION("""COMPUTED_VALUE"""),0.0)</f>
        <v>0</v>
      </c>
      <c r="G57" s="11">
        <f>IFERROR(__xludf.DUMMYFUNCTION("""COMPUTED_VALUE"""),0.0)</f>
        <v>0</v>
      </c>
      <c r="H57" s="66"/>
      <c r="I57" s="11">
        <f>IFERROR(__xludf.DUMMYFUNCTION("""COMPUTED_VALUE"""),0.0)</f>
        <v>0</v>
      </c>
      <c r="J57" s="11">
        <f>IFERROR(__xludf.DUMMYFUNCTION("""COMPUTED_VALUE"""),0.0)</f>
        <v>0</v>
      </c>
      <c r="K57" s="11"/>
      <c r="L57" s="11"/>
      <c r="M57" s="11"/>
      <c r="N57" s="11"/>
      <c r="O57" s="77">
        <f>IFERROR(__xludf.DUMMYFUNCTION("""COMPUTED_VALUE"""),0.0)</f>
        <v>0</v>
      </c>
      <c r="P57" s="78">
        <f>IFERROR(__xludf.DUMMYFUNCTION("""COMPUTED_VALUE"""),0.0)</f>
        <v>0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11"/>
      <c r="D58" s="11"/>
      <c r="E58" s="11">
        <f>IFERROR(__xludf.DUMMYFUNCTION("""COMPUTED_VALUE"""),0.0)</f>
        <v>0</v>
      </c>
      <c r="F58" s="11">
        <f>IFERROR(__xludf.DUMMYFUNCTION("""COMPUTED_VALUE"""),0.0)</f>
        <v>0</v>
      </c>
      <c r="G58" s="11">
        <f>IFERROR(__xludf.DUMMYFUNCTION("""COMPUTED_VALUE"""),0.0)</f>
        <v>0</v>
      </c>
      <c r="H58" s="66"/>
      <c r="I58" s="11">
        <f>IFERROR(__xludf.DUMMYFUNCTION("""COMPUTED_VALUE"""),0.0)</f>
        <v>0</v>
      </c>
      <c r="J58" s="11">
        <f>IFERROR(__xludf.DUMMYFUNCTION("""COMPUTED_VALUE"""),0.0)</f>
        <v>0</v>
      </c>
      <c r="K58" s="11"/>
      <c r="L58" s="11"/>
      <c r="M58" s="11"/>
      <c r="N58" s="11"/>
      <c r="O58" s="77">
        <f>IFERROR(__xludf.DUMMYFUNCTION("""COMPUTED_VALUE"""),0.0)</f>
        <v>0</v>
      </c>
      <c r="P58" s="78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67">
        <f>IFERROR(__xludf.DUMMYFUNCTION("""COMPUTED_VALUE"""),66000.0)</f>
        <v>66000</v>
      </c>
      <c r="C59" s="11"/>
      <c r="D59" s="11"/>
      <c r="E59" s="11">
        <f>IFERROR(__xludf.DUMMYFUNCTION("""COMPUTED_VALUE"""),0.0)</f>
        <v>0</v>
      </c>
      <c r="F59" s="11">
        <f>IFERROR(__xludf.DUMMYFUNCTION("""COMPUTED_VALUE"""),0.0)</f>
        <v>0</v>
      </c>
      <c r="G59" s="11">
        <f>IFERROR(__xludf.DUMMYFUNCTION("""COMPUTED_VALUE"""),0.0)</f>
        <v>0</v>
      </c>
      <c r="H59" s="66"/>
      <c r="I59" s="11">
        <f>IFERROR(__xludf.DUMMYFUNCTION("""COMPUTED_VALUE"""),0.0)</f>
        <v>0</v>
      </c>
      <c r="J59" s="11">
        <f>IFERROR(__xludf.DUMMYFUNCTION("""COMPUTED_VALUE"""),0.0)</f>
        <v>0</v>
      </c>
      <c r="K59" s="11"/>
      <c r="L59" s="11"/>
      <c r="M59" s="11"/>
      <c r="N59" s="11"/>
      <c r="O59" s="77">
        <f>IFERROR(__xludf.DUMMYFUNCTION("""COMPUTED_VALUE"""),66000.0)</f>
        <v>66000</v>
      </c>
      <c r="P59" s="78">
        <f>IFERROR(__xludf.DUMMYFUNCTION("""COMPUTED_VALUE"""),0.01959282546354844)</f>
        <v>0.01959282546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11"/>
      <c r="D60" s="11">
        <f>IFERROR(__xludf.DUMMYFUNCTION("""COMPUTED_VALUE"""),2494200.0)</f>
        <v>2494200</v>
      </c>
      <c r="E60" s="11">
        <f>IFERROR(__xludf.DUMMYFUNCTION("""COMPUTED_VALUE"""),0.0)</f>
        <v>0</v>
      </c>
      <c r="F60" s="11">
        <f>IFERROR(__xludf.DUMMYFUNCTION("""COMPUTED_VALUE"""),0.0)</f>
        <v>0</v>
      </c>
      <c r="G60" s="11">
        <f>IFERROR(__xludf.DUMMYFUNCTION("""COMPUTED_VALUE"""),422280.0)</f>
        <v>422280</v>
      </c>
      <c r="H60" s="66"/>
      <c r="I60" s="11">
        <f>IFERROR(__xludf.DUMMYFUNCTION("""COMPUTED_VALUE"""),0.0)</f>
        <v>0</v>
      </c>
      <c r="J60" s="11">
        <f>IFERROR(__xludf.DUMMYFUNCTION("""COMPUTED_VALUE"""),0.0)</f>
        <v>0</v>
      </c>
      <c r="K60" s="11"/>
      <c r="L60" s="11"/>
      <c r="M60" s="11"/>
      <c r="N60" s="11"/>
      <c r="O60" s="77">
        <f>IFERROR(__xludf.DUMMYFUNCTION("""COMPUTED_VALUE"""),2916480.0)</f>
        <v>2916480</v>
      </c>
      <c r="P60" s="78">
        <f>IFERROR(__xludf.DUMMYFUNCTION("""COMPUTED_VALUE"""),0.8657891455746932)</f>
        <v>0.8657891456</v>
      </c>
      <c r="Q60" s="16"/>
    </row>
    <row r="61" ht="15.75" customHeight="1">
      <c r="A61" s="48" t="str">
        <f>IFERROR(__xludf.DUMMYFUNCTION("""COMPUTED_VALUE"""),"研修費")</f>
        <v>研修費</v>
      </c>
      <c r="B61" s="70"/>
      <c r="C61" s="11"/>
      <c r="D61" s="11"/>
      <c r="E61" s="11">
        <f>IFERROR(__xludf.DUMMYFUNCTION("""COMPUTED_VALUE"""),0.0)</f>
        <v>0</v>
      </c>
      <c r="F61" s="11">
        <f>IFERROR(__xludf.DUMMYFUNCTION("""COMPUTED_VALUE"""),0.0)</f>
        <v>0</v>
      </c>
      <c r="G61" s="11">
        <f>IFERROR(__xludf.DUMMYFUNCTION("""COMPUTED_VALUE"""),0.0)</f>
        <v>0</v>
      </c>
      <c r="H61" s="66"/>
      <c r="I61" s="11">
        <f>IFERROR(__xludf.DUMMYFUNCTION("""COMPUTED_VALUE"""),0.0)</f>
        <v>0</v>
      </c>
      <c r="J61" s="11">
        <f>IFERROR(__xludf.DUMMYFUNCTION("""COMPUTED_VALUE"""),0.0)</f>
        <v>0</v>
      </c>
      <c r="K61" s="11"/>
      <c r="L61" s="11"/>
      <c r="M61" s="11"/>
      <c r="N61" s="11"/>
      <c r="O61" s="24">
        <f>IFERROR(__xludf.DUMMYFUNCTION("""COMPUTED_VALUE"""),0.0)</f>
        <v>0</v>
      </c>
      <c r="P61" s="16">
        <f>IFERROR(__xludf.DUMMYFUNCTION("""COMPUTED_VALUE"""),0.0)</f>
        <v>0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11"/>
      <c r="D62" s="11"/>
      <c r="E62" s="11">
        <f>IFERROR(__xludf.DUMMYFUNCTION("""COMPUTED_VALUE"""),0.0)</f>
        <v>0</v>
      </c>
      <c r="F62" s="11">
        <f>IFERROR(__xludf.DUMMYFUNCTION("""COMPUTED_VALUE"""),0.0)</f>
        <v>0</v>
      </c>
      <c r="G62" s="11">
        <f>IFERROR(__xludf.DUMMYFUNCTION("""COMPUTED_VALUE"""),0.0)</f>
        <v>0</v>
      </c>
      <c r="H62" s="66"/>
      <c r="I62" s="11">
        <f>IFERROR(__xludf.DUMMYFUNCTION("""COMPUTED_VALUE"""),0.0)</f>
        <v>0</v>
      </c>
      <c r="J62" s="11">
        <f>IFERROR(__xludf.DUMMYFUNCTION("""COMPUTED_VALUE"""),0.0)</f>
        <v>0</v>
      </c>
      <c r="K62" s="11"/>
      <c r="L62" s="11"/>
      <c r="M62" s="11"/>
      <c r="N62" s="11"/>
      <c r="O62" s="24">
        <f>IFERROR(__xludf.DUMMYFUNCTION("""COMPUTED_VALUE"""),0.0)</f>
        <v>0</v>
      </c>
      <c r="P62" s="16">
        <f>IFERROR(__xludf.DUMMYFUNCTION("""COMPUTED_VALUE"""),0.0)</f>
        <v>0</v>
      </c>
      <c r="Q62" s="16"/>
    </row>
    <row r="63" ht="15.75" customHeight="1">
      <c r="A63" s="48" t="str">
        <f>IFERROR(__xludf.DUMMYFUNCTION("""COMPUTED_VALUE"""),"会議費")</f>
        <v>会議費</v>
      </c>
      <c r="B63" s="70"/>
      <c r="C63" s="11">
        <f>IFERROR(__xludf.DUMMYFUNCTION("""COMPUTED_VALUE"""),2970.0)</f>
        <v>2970</v>
      </c>
      <c r="D63" s="11"/>
      <c r="E63" s="11">
        <f>IFERROR(__xludf.DUMMYFUNCTION("""COMPUTED_VALUE"""),3234.0)</f>
        <v>3234</v>
      </c>
      <c r="F63" s="11">
        <f>IFERROR(__xludf.DUMMYFUNCTION("""COMPUTED_VALUE"""),4600.0)</f>
        <v>4600</v>
      </c>
      <c r="G63" s="11">
        <f>IFERROR(__xludf.DUMMYFUNCTION("""COMPUTED_VALUE"""),3502.0)</f>
        <v>3502</v>
      </c>
      <c r="H63" s="66"/>
      <c r="I63" s="11">
        <f>IFERROR(__xludf.DUMMYFUNCTION("""COMPUTED_VALUE"""),0.0)</f>
        <v>0</v>
      </c>
      <c r="J63" s="11">
        <f>IFERROR(__xludf.DUMMYFUNCTION("""COMPUTED_VALUE"""),0.0)</f>
        <v>0</v>
      </c>
      <c r="K63" s="11"/>
      <c r="L63" s="11"/>
      <c r="M63" s="11"/>
      <c r="N63" s="11"/>
      <c r="O63" s="24">
        <f>IFERROR(__xludf.DUMMYFUNCTION("""COMPUTED_VALUE"""),14306.0)</f>
        <v>14306</v>
      </c>
      <c r="P63" s="16">
        <f>IFERROR(__xludf.DUMMYFUNCTION("""COMPUTED_VALUE"""),2.1280593083851872E-4)</f>
        <v>0.0002128059308</v>
      </c>
      <c r="Q63" s="16"/>
    </row>
    <row r="64" ht="15.75" customHeight="1">
      <c r="A64" s="48" t="str">
        <f>IFERROR(__xludf.DUMMYFUNCTION("""COMPUTED_VALUE"""),"荷造運搬費")</f>
        <v>荷造運搬費</v>
      </c>
      <c r="B64" s="67">
        <f>IFERROR(__xludf.DUMMYFUNCTION("""COMPUTED_VALUE"""),107784.0)</f>
        <v>107784</v>
      </c>
      <c r="C64" s="11">
        <f>IFERROR(__xludf.DUMMYFUNCTION("""COMPUTED_VALUE"""),156393.0)</f>
        <v>156393</v>
      </c>
      <c r="D64" s="11">
        <f>IFERROR(__xludf.DUMMYFUNCTION("""COMPUTED_VALUE"""),96806.0)</f>
        <v>96806</v>
      </c>
      <c r="E64" s="11">
        <f>IFERROR(__xludf.DUMMYFUNCTION("""COMPUTED_VALUE"""),3053637.0)</f>
        <v>3053637</v>
      </c>
      <c r="F64" s="11">
        <f>IFERROR(__xludf.DUMMYFUNCTION("""COMPUTED_VALUE"""),316140.0)</f>
        <v>316140</v>
      </c>
      <c r="G64" s="11">
        <f>IFERROR(__xludf.DUMMYFUNCTION("""COMPUTED_VALUE"""),280159.0)</f>
        <v>280159</v>
      </c>
      <c r="H64" s="66"/>
      <c r="I64" s="11">
        <f>IFERROR(__xludf.DUMMYFUNCTION("""COMPUTED_VALUE"""),1560339.0)</f>
        <v>1560339</v>
      </c>
      <c r="J64" s="11">
        <f>IFERROR(__xludf.DUMMYFUNCTION("""COMPUTED_VALUE"""),211096.0)</f>
        <v>211096</v>
      </c>
      <c r="K64" s="11"/>
      <c r="L64" s="11"/>
      <c r="M64" s="11"/>
      <c r="N64" s="11"/>
      <c r="O64" s="24">
        <f>IFERROR(__xludf.DUMMYFUNCTION("""COMPUTED_VALUE"""),5782354.0)</f>
        <v>5782354</v>
      </c>
      <c r="P64" s="16">
        <f>IFERROR(__xludf.DUMMYFUNCTION("""COMPUTED_VALUE"""),0.0860142056065869)</f>
        <v>0.08601420561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IFERROR(__xludf.DUMMYFUNCTION("""COMPUTED_VALUE"""),4414.0)</f>
        <v>4414</v>
      </c>
      <c r="C65" s="11"/>
      <c r="D65" s="11"/>
      <c r="E65" s="11">
        <f>IFERROR(__xludf.DUMMYFUNCTION("""COMPUTED_VALUE"""),0.0)</f>
        <v>0</v>
      </c>
      <c r="F65" s="11">
        <f>IFERROR(__xludf.DUMMYFUNCTION("""COMPUTED_VALUE"""),0.0)</f>
        <v>0</v>
      </c>
      <c r="G65" s="11">
        <f>IFERROR(__xludf.DUMMYFUNCTION("""COMPUTED_VALUE"""),1500.0)</f>
        <v>1500</v>
      </c>
      <c r="H65" s="66"/>
      <c r="I65" s="11">
        <f>IFERROR(__xludf.DUMMYFUNCTION("""COMPUTED_VALUE"""),1500.0)</f>
        <v>1500</v>
      </c>
      <c r="J65" s="11">
        <f>IFERROR(__xludf.DUMMYFUNCTION("""COMPUTED_VALUE"""),0.0)</f>
        <v>0</v>
      </c>
      <c r="K65" s="11"/>
      <c r="L65" s="11"/>
      <c r="M65" s="11"/>
      <c r="N65" s="11"/>
      <c r="O65" s="24">
        <f>IFERROR(__xludf.DUMMYFUNCTION("""COMPUTED_VALUE"""),7414.0)</f>
        <v>7414</v>
      </c>
      <c r="P65" s="16">
        <f>IFERROR(__xludf.DUMMYFUNCTION("""COMPUTED_VALUE"""),1.1028541669486774E-4)</f>
        <v>0.0001102854167</v>
      </c>
      <c r="Q65" s="16"/>
    </row>
    <row r="66" ht="15.75" customHeight="1">
      <c r="A66" s="48" t="str">
        <f>IFERROR(__xludf.DUMMYFUNCTION("""COMPUTED_VALUE"""),"新聞図書費")</f>
        <v>新聞図書費</v>
      </c>
      <c r="B66" s="67">
        <f>IFERROR(__xludf.DUMMYFUNCTION("""COMPUTED_VALUE"""),8360.0)</f>
        <v>8360</v>
      </c>
      <c r="C66" s="11"/>
      <c r="D66" s="11"/>
      <c r="E66" s="11">
        <f>IFERROR(__xludf.DUMMYFUNCTION("""COMPUTED_VALUE"""),0.0)</f>
        <v>0</v>
      </c>
      <c r="F66" s="11">
        <f>IFERROR(__xludf.DUMMYFUNCTION("""COMPUTED_VALUE"""),0.0)</f>
        <v>0</v>
      </c>
      <c r="G66" s="11">
        <f>IFERROR(__xludf.DUMMYFUNCTION("""COMPUTED_VALUE"""),3960.0)</f>
        <v>3960</v>
      </c>
      <c r="H66" s="66"/>
      <c r="I66" s="11">
        <f>IFERROR(__xludf.DUMMYFUNCTION("""COMPUTED_VALUE"""),0.0)</f>
        <v>0</v>
      </c>
      <c r="J66" s="11">
        <f>IFERROR(__xludf.DUMMYFUNCTION("""COMPUTED_VALUE"""),19800.0)</f>
        <v>19800</v>
      </c>
      <c r="K66" s="11"/>
      <c r="L66" s="11"/>
      <c r="M66" s="11"/>
      <c r="N66" s="11"/>
      <c r="O66" s="24">
        <f>IFERROR(__xludf.DUMMYFUNCTION("""COMPUTED_VALUE"""),32120.0)</f>
        <v>32120</v>
      </c>
      <c r="P66" s="16">
        <f>IFERROR(__xludf.DUMMYFUNCTION("""COMPUTED_VALUE"""),4.77794386867973E-4)</f>
        <v>0.0004777943869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11"/>
      <c r="D67" s="11"/>
      <c r="E67" s="11">
        <f>IFERROR(__xludf.DUMMYFUNCTION("""COMPUTED_VALUE"""),0.0)</f>
        <v>0</v>
      </c>
      <c r="F67" s="11">
        <f>IFERROR(__xludf.DUMMYFUNCTION("""COMPUTED_VALUE"""),0.0)</f>
        <v>0</v>
      </c>
      <c r="G67" s="11">
        <f>IFERROR(__xludf.DUMMYFUNCTION("""COMPUTED_VALUE"""),0.0)</f>
        <v>0</v>
      </c>
      <c r="H67" s="66"/>
      <c r="I67" s="11">
        <f>IFERROR(__xludf.DUMMYFUNCTION("""COMPUTED_VALUE"""),0.0)</f>
        <v>0</v>
      </c>
      <c r="J67" s="11">
        <f>IFERROR(__xludf.DUMMYFUNCTION("""COMPUTED_VALUE"""),0.0)</f>
        <v>0</v>
      </c>
      <c r="K67" s="11"/>
      <c r="L67" s="11"/>
      <c r="M67" s="11"/>
      <c r="N67" s="11"/>
      <c r="O67" s="24">
        <f>IFERROR(__xludf.DUMMYFUNCTION("""COMPUTED_VALUE"""),0.0)</f>
        <v>0</v>
      </c>
      <c r="P67" s="16">
        <f>IFERROR(__xludf.DUMMYFUNCTION("""COMPUTED_VALUE"""),0.0)</f>
        <v>0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11"/>
      <c r="D68" s="11"/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66"/>
      <c r="I68" s="11">
        <f>IFERROR(__xludf.DUMMYFUNCTION("""COMPUTED_VALUE"""),0.0)</f>
        <v>0</v>
      </c>
      <c r="J68" s="11">
        <f>IFERROR(__xludf.DUMMYFUNCTION("""COMPUTED_VALUE"""),0.0)</f>
        <v>0</v>
      </c>
      <c r="K68" s="11"/>
      <c r="L68" s="11"/>
      <c r="M68" s="11"/>
      <c r="N68" s="11"/>
      <c r="O68" s="24">
        <f>IFERROR(__xludf.DUMMYFUNCTION("""COMPUTED_VALUE"""),0.0)</f>
        <v>0</v>
      </c>
      <c r="P68" s="16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70"/>
      <c r="C69" s="11"/>
      <c r="D69" s="11"/>
      <c r="E69" s="11">
        <f>IFERROR(__xludf.DUMMYFUNCTION("""COMPUTED_VALUE"""),0.0)</f>
        <v>0</v>
      </c>
      <c r="F69" s="11">
        <f>IFERROR(__xludf.DUMMYFUNCTION("""COMPUTED_VALUE"""),0.0)</f>
        <v>0</v>
      </c>
      <c r="G69" s="11">
        <f>IFERROR(__xludf.DUMMYFUNCTION("""COMPUTED_VALUE"""),0.0)</f>
        <v>0</v>
      </c>
      <c r="H69" s="66"/>
      <c r="I69" s="11">
        <f>IFERROR(__xludf.DUMMYFUNCTION("""COMPUTED_VALUE"""),0.0)</f>
        <v>0</v>
      </c>
      <c r="J69" s="11">
        <f>IFERROR(__xludf.DUMMYFUNCTION("""COMPUTED_VALUE"""),0.0)</f>
        <v>0</v>
      </c>
      <c r="K69" s="11"/>
      <c r="L69" s="11"/>
      <c r="M69" s="11"/>
      <c r="N69" s="11"/>
      <c r="O69" s="24">
        <f>IFERROR(__xludf.DUMMYFUNCTION("""COMPUTED_VALUE"""),0.0)</f>
        <v>0</v>
      </c>
      <c r="P69" s="16">
        <f>IFERROR(__xludf.DUMMYFUNCTION("""COMPUTED_VALUE"""),0.0)</f>
        <v>0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11"/>
      <c r="D70" s="11"/>
      <c r="E70" s="11">
        <f>IFERROR(__xludf.DUMMYFUNCTION("""COMPUTED_VALUE"""),0.0)</f>
        <v>0</v>
      </c>
      <c r="F70" s="11">
        <f>IFERROR(__xludf.DUMMYFUNCTION("""COMPUTED_VALUE"""),0.0)</f>
        <v>0</v>
      </c>
      <c r="G70" s="11">
        <f>IFERROR(__xludf.DUMMYFUNCTION("""COMPUTED_VALUE"""),0.0)</f>
        <v>0</v>
      </c>
      <c r="H70" s="66"/>
      <c r="I70" s="11">
        <f>IFERROR(__xludf.DUMMYFUNCTION("""COMPUTED_VALUE"""),0.0)</f>
        <v>0</v>
      </c>
      <c r="J70" s="11">
        <f>IFERROR(__xludf.DUMMYFUNCTION("""COMPUTED_VALUE"""),0.0)</f>
        <v>0</v>
      </c>
      <c r="K70" s="11"/>
      <c r="L70" s="11"/>
      <c r="M70" s="11"/>
      <c r="N70" s="11"/>
      <c r="O70" s="24">
        <f>IFERROR(__xludf.DUMMYFUNCTION("""COMPUTED_VALUE"""),0.0)</f>
        <v>0</v>
      </c>
      <c r="P70" s="16">
        <f>IFERROR(__xludf.DUMMYFUNCTION("""COMPUTED_VALUE"""),0.0)</f>
        <v>0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11"/>
      <c r="D71" s="11"/>
      <c r="E71" s="11">
        <f>IFERROR(__xludf.DUMMYFUNCTION("""COMPUTED_VALUE"""),0.0)</f>
        <v>0</v>
      </c>
      <c r="F71" s="11">
        <f>IFERROR(__xludf.DUMMYFUNCTION("""COMPUTED_VALUE"""),0.0)</f>
        <v>0</v>
      </c>
      <c r="G71" s="11">
        <f>IFERROR(__xludf.DUMMYFUNCTION("""COMPUTED_VALUE"""),0.0)</f>
        <v>0</v>
      </c>
      <c r="H71" s="66"/>
      <c r="I71" s="11">
        <f>IFERROR(__xludf.DUMMYFUNCTION("""COMPUTED_VALUE"""),0.0)</f>
        <v>0</v>
      </c>
      <c r="J71" s="11">
        <f>IFERROR(__xludf.DUMMYFUNCTION("""COMPUTED_VALUE"""),0.0)</f>
        <v>0</v>
      </c>
      <c r="K71" s="11"/>
      <c r="L71" s="11"/>
      <c r="M71" s="11"/>
      <c r="N71" s="11"/>
      <c r="O71" s="24">
        <f>IFERROR(__xludf.DUMMYFUNCTION("""COMPUTED_VALUE"""),0.0)</f>
        <v>0</v>
      </c>
      <c r="P71" s="16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11"/>
      <c r="D72" s="11"/>
      <c r="E72" s="11">
        <f>IFERROR(__xludf.DUMMYFUNCTION("""COMPUTED_VALUE"""),0.0)</f>
        <v>0</v>
      </c>
      <c r="F72" s="11">
        <f>IFERROR(__xludf.DUMMYFUNCTION("""COMPUTED_VALUE"""),0.0)</f>
        <v>0</v>
      </c>
      <c r="G72" s="11">
        <f>IFERROR(__xludf.DUMMYFUNCTION("""COMPUTED_VALUE"""),0.0)</f>
        <v>0</v>
      </c>
      <c r="H72" s="66"/>
      <c r="I72" s="11">
        <f>IFERROR(__xludf.DUMMYFUNCTION("""COMPUTED_VALUE"""),0.0)</f>
        <v>0</v>
      </c>
      <c r="J72" s="11">
        <f>IFERROR(__xludf.DUMMYFUNCTION("""COMPUTED_VALUE"""),0.0)</f>
        <v>0</v>
      </c>
      <c r="K72" s="11"/>
      <c r="L72" s="11"/>
      <c r="M72" s="11"/>
      <c r="N72" s="11"/>
      <c r="O72" s="24">
        <f>IFERROR(__xludf.DUMMYFUNCTION("""COMPUTED_VALUE"""),0.0)</f>
        <v>0</v>
      </c>
      <c r="P72" s="16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11"/>
      <c r="D73" s="11"/>
      <c r="E73" s="11">
        <f>IFERROR(__xludf.DUMMYFUNCTION("""COMPUTED_VALUE"""),0.0)</f>
        <v>0</v>
      </c>
      <c r="F73" s="11">
        <f>IFERROR(__xludf.DUMMYFUNCTION("""COMPUTED_VALUE"""),0.0)</f>
        <v>0</v>
      </c>
      <c r="G73" s="11">
        <f>IFERROR(__xludf.DUMMYFUNCTION("""COMPUTED_VALUE"""),0.0)</f>
        <v>0</v>
      </c>
      <c r="H73" s="66"/>
      <c r="I73" s="11">
        <f>IFERROR(__xludf.DUMMYFUNCTION("""COMPUTED_VALUE"""),0.0)</f>
        <v>0</v>
      </c>
      <c r="J73" s="11">
        <f>IFERROR(__xludf.DUMMYFUNCTION("""COMPUTED_VALUE"""),0.0)</f>
        <v>0</v>
      </c>
      <c r="K73" s="11"/>
      <c r="L73" s="11"/>
      <c r="M73" s="11"/>
      <c r="N73" s="11"/>
      <c r="O73" s="24">
        <f>IFERROR(__xludf.DUMMYFUNCTION("""COMPUTED_VALUE"""),0.0)</f>
        <v>0</v>
      </c>
      <c r="P73" s="16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67">
        <f>IFERROR(__xludf.DUMMYFUNCTION("""COMPUTED_VALUE"""),6600.0)</f>
        <v>6600</v>
      </c>
      <c r="C74" s="11"/>
      <c r="D74" s="11"/>
      <c r="E74" s="11">
        <f>IFERROR(__xludf.DUMMYFUNCTION("""COMPUTED_VALUE"""),0.0)</f>
        <v>0</v>
      </c>
      <c r="F74" s="11">
        <f>IFERROR(__xludf.DUMMYFUNCTION("""COMPUTED_VALUE"""),0.0)</f>
        <v>0</v>
      </c>
      <c r="G74" s="11">
        <f>IFERROR(__xludf.DUMMYFUNCTION("""COMPUTED_VALUE"""),0.0)</f>
        <v>0</v>
      </c>
      <c r="H74" s="66"/>
      <c r="I74" s="11">
        <f>IFERROR(__xludf.DUMMYFUNCTION("""COMPUTED_VALUE"""),0.0)</f>
        <v>0</v>
      </c>
      <c r="J74" s="11">
        <f>IFERROR(__xludf.DUMMYFUNCTION("""COMPUTED_VALUE"""),0.0)</f>
        <v>0</v>
      </c>
      <c r="K74" s="11"/>
      <c r="L74" s="11"/>
      <c r="M74" s="11"/>
      <c r="N74" s="11"/>
      <c r="O74" s="24">
        <f>IFERROR(__xludf.DUMMYFUNCTION("""COMPUTED_VALUE"""),6600.0)</f>
        <v>6600</v>
      </c>
      <c r="P74" s="16">
        <f>IFERROR(__xludf.DUMMYFUNCTION("""COMPUTED_VALUE"""),9.81769288084876E-5)</f>
        <v>0.00009817692881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67">
        <f>IFERROR(__xludf.DUMMYFUNCTION("""COMPUTED_VALUE"""),506000.0)</f>
        <v>506000</v>
      </c>
      <c r="C75" s="11">
        <f>IFERROR(__xludf.DUMMYFUNCTION("""COMPUTED_VALUE"""),506000.0)</f>
        <v>506000</v>
      </c>
      <c r="D75" s="11">
        <f>IFERROR(__xludf.DUMMYFUNCTION("""COMPUTED_VALUE"""),506000.0)</f>
        <v>506000</v>
      </c>
      <c r="E75" s="11">
        <f>IFERROR(__xludf.DUMMYFUNCTION("""COMPUTED_VALUE"""),506000.0)</f>
        <v>506000</v>
      </c>
      <c r="F75" s="11">
        <f>IFERROR(__xludf.DUMMYFUNCTION("""COMPUTED_VALUE"""),506000.0)</f>
        <v>506000</v>
      </c>
      <c r="G75" s="11">
        <f>IFERROR(__xludf.DUMMYFUNCTION("""COMPUTED_VALUE"""),506000.0)</f>
        <v>506000</v>
      </c>
      <c r="H75" s="66"/>
      <c r="I75" s="11">
        <f>IFERROR(__xludf.DUMMYFUNCTION("""COMPUTED_VALUE"""),231000.0)</f>
        <v>231000</v>
      </c>
      <c r="J75" s="11">
        <f>IFERROR(__xludf.DUMMYFUNCTION("""COMPUTED_VALUE"""),231000.0)</f>
        <v>231000</v>
      </c>
      <c r="K75" s="11"/>
      <c r="L75" s="11"/>
      <c r="M75" s="11"/>
      <c r="N75" s="11"/>
      <c r="O75" s="24">
        <f>IFERROR(__xludf.DUMMYFUNCTION("""COMPUTED_VALUE"""),3498000.0)</f>
        <v>3498000</v>
      </c>
      <c r="P75" s="16">
        <f>IFERROR(__xludf.DUMMYFUNCTION("""COMPUTED_VALUE"""),0.05203377226849843)</f>
        <v>0.05203377227</v>
      </c>
      <c r="Q75" s="16"/>
    </row>
    <row r="76" ht="15.75" customHeight="1">
      <c r="A76" s="48" t="str">
        <f>IFERROR(__xludf.DUMMYFUNCTION("""COMPUTED_VALUE"""),"諸会費")</f>
        <v>諸会費</v>
      </c>
      <c r="B76" s="70"/>
      <c r="C76" s="11"/>
      <c r="D76" s="11"/>
      <c r="E76" s="11">
        <f>IFERROR(__xludf.DUMMYFUNCTION("""COMPUTED_VALUE"""),0.0)</f>
        <v>0</v>
      </c>
      <c r="F76" s="11">
        <f>IFERROR(__xludf.DUMMYFUNCTION("""COMPUTED_VALUE"""),0.0)</f>
        <v>0</v>
      </c>
      <c r="G76" s="11">
        <f>IFERROR(__xludf.DUMMYFUNCTION("""COMPUTED_VALUE"""),0.0)</f>
        <v>0</v>
      </c>
      <c r="H76" s="66"/>
      <c r="I76" s="11">
        <f>IFERROR(__xludf.DUMMYFUNCTION("""COMPUTED_VALUE"""),0.0)</f>
        <v>0</v>
      </c>
      <c r="J76" s="11">
        <f>IFERROR(__xludf.DUMMYFUNCTION("""COMPUTED_VALUE"""),0.0)</f>
        <v>0</v>
      </c>
      <c r="K76" s="11"/>
      <c r="L76" s="11"/>
      <c r="M76" s="11"/>
      <c r="N76" s="11"/>
      <c r="O76" s="24">
        <f>IFERROR(__xludf.DUMMYFUNCTION("""COMPUTED_VALUE"""),0.0)</f>
        <v>0</v>
      </c>
      <c r="P76" s="16">
        <f>IFERROR(__xludf.DUMMYFUNCTION("""COMPUTED_VALUE"""),0.0)</f>
        <v>0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IFERROR(__xludf.DUMMYFUNCTION("""COMPUTED_VALUE"""),3694773.0)</f>
        <v>3694773</v>
      </c>
      <c r="C77" s="24">
        <f>IFERROR(__xludf.DUMMYFUNCTION("""COMPUTED_VALUE"""),3558202.0)</f>
        <v>3558202</v>
      </c>
      <c r="D77" s="24">
        <f>IFERROR(__xludf.DUMMYFUNCTION("""COMPUTED_VALUE"""),7489205.0)</f>
        <v>7489205</v>
      </c>
      <c r="E77" s="24">
        <f>IFERROR(__xludf.DUMMYFUNCTION("""COMPUTED_VALUE"""),3801420.0)</f>
        <v>3801420</v>
      </c>
      <c r="F77" s="24">
        <f>IFERROR(__xludf.DUMMYFUNCTION("""COMPUTED_VALUE"""),4134313.0)</f>
        <v>4134313</v>
      </c>
      <c r="G77" s="24">
        <f>IFERROR(__xludf.DUMMYFUNCTION("""COMPUTED_VALUE"""),4067473.0)</f>
        <v>4067473</v>
      </c>
      <c r="H77" s="24">
        <f>IFERROR(__xludf.DUMMYFUNCTION("""COMPUTED_VALUE"""),0.0)</f>
        <v>0</v>
      </c>
      <c r="I77" s="24">
        <f>IFERROR(__xludf.DUMMYFUNCTION("""COMPUTED_VALUE"""),4110934.0)</f>
        <v>4110934</v>
      </c>
      <c r="J77" s="24">
        <f>IFERROR(__xludf.DUMMYFUNCTION("""COMPUTED_VALUE"""),4081033.0)</f>
        <v>4081033</v>
      </c>
      <c r="K77" s="24">
        <f>IFERROR(__xludf.DUMMYFUNCTION("""COMPUTED_VALUE"""),0.0)</f>
        <v>0</v>
      </c>
      <c r="L77" s="24">
        <f>IFERROR(__xludf.DUMMYFUNCTION("""COMPUTED_VALUE"""),0.0)</f>
        <v>0</v>
      </c>
      <c r="M77" s="24">
        <f>IFERROR(__xludf.DUMMYFUNCTION("""COMPUTED_VALUE"""),0.0)</f>
        <v>0</v>
      </c>
      <c r="N77" s="24">
        <f>IFERROR(__xludf.DUMMYFUNCTION("""COMPUTED_VALUE"""),0.0)</f>
        <v>0</v>
      </c>
      <c r="O77" s="24">
        <f>IFERROR(__xludf.DUMMYFUNCTION("""COMPUTED_VALUE"""),3.4937353E7)</f>
        <v>34937353</v>
      </c>
      <c r="P77" s="16">
        <f>IFERROR(__xludf.DUMMYFUNCTION("""COMPUTED_VALUE"""),0.5197033360966667)</f>
        <v>0.5197033361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IFERROR(__xludf.DUMMYFUNCTION("""COMPUTED_VALUE"""),3399567.0)</f>
        <v>3399567</v>
      </c>
      <c r="C78" s="11">
        <f>IFERROR(__xludf.DUMMYFUNCTION("""COMPUTED_VALUE"""),3261915.0)</f>
        <v>3261915</v>
      </c>
      <c r="D78" s="11">
        <f>IFERROR(__xludf.DUMMYFUNCTION("""COMPUTED_VALUE"""),7107935.0)</f>
        <v>7107935</v>
      </c>
      <c r="E78" s="11">
        <f>IFERROR(__xludf.DUMMYFUNCTION("""COMPUTED_VALUE"""),3474351.0)</f>
        <v>3474351</v>
      </c>
      <c r="F78" s="11">
        <f>IFERROR(__xludf.DUMMYFUNCTION("""COMPUTED_VALUE"""),3848071.0)</f>
        <v>3848071</v>
      </c>
      <c r="G78" s="11">
        <f>IFERROR(__xludf.DUMMYFUNCTION("""COMPUTED_VALUE"""),3801438.0)</f>
        <v>3801438</v>
      </c>
      <c r="H78" s="66"/>
      <c r="I78" s="11">
        <f>IFERROR(__xludf.DUMMYFUNCTION("""COMPUTED_VALUE"""),3806777.0)</f>
        <v>3806777</v>
      </c>
      <c r="J78" s="11">
        <f>IFERROR(__xludf.DUMMYFUNCTION("""COMPUTED_VALUE"""),3804751.0)</f>
        <v>3804751</v>
      </c>
      <c r="K78" s="11"/>
      <c r="L78" s="11"/>
      <c r="M78" s="11"/>
      <c r="N78" s="11"/>
      <c r="O78" s="77">
        <f>IFERROR(__xludf.DUMMYFUNCTION("""COMPUTED_VALUE"""),3.2504805E7)</f>
        <v>32504805</v>
      </c>
      <c r="P78" s="78">
        <f>IFERROR(__xludf.DUMMYFUNCTION("""COMPUTED_VALUE"""),0.9303740040065428)</f>
        <v>0.930374004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IFERROR(__xludf.DUMMYFUNCTION("""COMPUTED_VALUE"""),165711.0)</f>
        <v>165711</v>
      </c>
      <c r="C79" s="11">
        <f>IFERROR(__xludf.DUMMYFUNCTION("""COMPUTED_VALUE"""),171327.0)</f>
        <v>171327</v>
      </c>
      <c r="D79" s="11">
        <f>IFERROR(__xludf.DUMMYFUNCTION("""COMPUTED_VALUE"""),237750.0)</f>
        <v>237750</v>
      </c>
      <c r="E79" s="11">
        <f>IFERROR(__xludf.DUMMYFUNCTION("""COMPUTED_VALUE"""),191417.0)</f>
        <v>191417</v>
      </c>
      <c r="F79" s="11">
        <f>IFERROR(__xludf.DUMMYFUNCTION("""COMPUTED_VALUE"""),161402.0)</f>
        <v>161402</v>
      </c>
      <c r="G79" s="11">
        <f>IFERROR(__xludf.DUMMYFUNCTION("""COMPUTED_VALUE"""),149155.0)</f>
        <v>149155</v>
      </c>
      <c r="H79" s="66"/>
      <c r="I79" s="11">
        <f>IFERROR(__xludf.DUMMYFUNCTION("""COMPUTED_VALUE"""),167347.0)</f>
        <v>167347</v>
      </c>
      <c r="J79" s="11">
        <f>IFERROR(__xludf.DUMMYFUNCTION("""COMPUTED_VALUE"""),137982.0)</f>
        <v>137982</v>
      </c>
      <c r="K79" s="11"/>
      <c r="L79" s="11"/>
      <c r="M79" s="11"/>
      <c r="N79" s="11"/>
      <c r="O79" s="77">
        <f>IFERROR(__xludf.DUMMYFUNCTION("""COMPUTED_VALUE"""),1382091.0)</f>
        <v>1382091</v>
      </c>
      <c r="P79" s="78">
        <f>IFERROR(__xludf.DUMMYFUNCTION("""COMPUTED_VALUE"""),0.03955912172281627)</f>
        <v>0.03955912172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IFERROR(__xludf.DUMMYFUNCTION("""COMPUTED_VALUE"""),127920.0)</f>
        <v>127920</v>
      </c>
      <c r="C80" s="11">
        <f>IFERROR(__xludf.DUMMYFUNCTION("""COMPUTED_VALUE"""),124960.0)</f>
        <v>124960</v>
      </c>
      <c r="D80" s="11">
        <f>IFERROR(__xludf.DUMMYFUNCTION("""COMPUTED_VALUE"""),143520.0)</f>
        <v>143520</v>
      </c>
      <c r="E80" s="11">
        <f>IFERROR(__xludf.DUMMYFUNCTION("""COMPUTED_VALUE"""),134340.0)</f>
        <v>134340</v>
      </c>
      <c r="F80" s="11">
        <f>IFERROR(__xludf.DUMMYFUNCTION("""COMPUTED_VALUE"""),124840.0)</f>
        <v>124840</v>
      </c>
      <c r="G80" s="11">
        <f>IFERROR(__xludf.DUMMYFUNCTION("""COMPUTED_VALUE"""),116880.0)</f>
        <v>116880</v>
      </c>
      <c r="H80" s="66"/>
      <c r="I80" s="11">
        <f>IFERROR(__xludf.DUMMYFUNCTION("""COMPUTED_VALUE"""),136810.0)</f>
        <v>136810</v>
      </c>
      <c r="J80" s="11">
        <f>IFERROR(__xludf.DUMMYFUNCTION("""COMPUTED_VALUE"""),138300.0)</f>
        <v>138300</v>
      </c>
      <c r="K80" s="11"/>
      <c r="L80" s="11"/>
      <c r="M80" s="11"/>
      <c r="N80" s="11"/>
      <c r="O80" s="77">
        <f>IFERROR(__xludf.DUMMYFUNCTION("""COMPUTED_VALUE"""),1047570.0)</f>
        <v>1047570</v>
      </c>
      <c r="P80" s="78">
        <f>IFERROR(__xludf.DUMMYFUNCTION("""COMPUTED_VALUE"""),0.029984240649255825)</f>
        <v>0.02998424065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IFERROR(__xludf.DUMMYFUNCTION("""COMPUTED_VALUE"""),1575.0)</f>
        <v>1575</v>
      </c>
      <c r="C81" s="11">
        <f>IFERROR(__xludf.DUMMYFUNCTION("""COMPUTED_VALUE"""),0.0)</f>
        <v>0</v>
      </c>
      <c r="D81" s="11">
        <f>IFERROR(__xludf.DUMMYFUNCTION("""COMPUTED_VALUE"""),0.0)</f>
        <v>0</v>
      </c>
      <c r="E81" s="11">
        <f>IFERROR(__xludf.DUMMYFUNCTION("""COMPUTED_VALUE"""),1312.0)</f>
        <v>1312</v>
      </c>
      <c r="F81" s="11"/>
      <c r="G81" s="11"/>
      <c r="H81" s="66"/>
      <c r="I81" s="11"/>
      <c r="J81" s="11"/>
      <c r="K81" s="11"/>
      <c r="L81" s="11"/>
      <c r="M81" s="11"/>
      <c r="N81" s="11"/>
      <c r="O81" s="77">
        <f>IFERROR(__xludf.DUMMYFUNCTION("""COMPUTED_VALUE"""),2887.0)</f>
        <v>2887</v>
      </c>
      <c r="P81" s="78">
        <f>IFERROR(__xludf.DUMMYFUNCTION("""COMPUTED_VALUE"""),8.26336213851118E-5)</f>
        <v>0.00008263362139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11"/>
      <c r="D82" s="11"/>
      <c r="E82" s="11"/>
      <c r="F82" s="11"/>
      <c r="G82" s="11"/>
      <c r="H82" s="66"/>
      <c r="I82" s="11"/>
      <c r="J82" s="11"/>
      <c r="K82" s="11"/>
      <c r="L82" s="11"/>
      <c r="M82" s="11"/>
      <c r="N82" s="11"/>
      <c r="O82" s="24">
        <f>IFERROR(__xludf.DUMMYFUNCTION("""COMPUTED_VALUE"""),0.0)</f>
        <v>0</v>
      </c>
      <c r="P82" s="16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11"/>
      <c r="D83" s="11"/>
      <c r="E83" s="11">
        <f>IFERROR(__xludf.DUMMYFUNCTION("""COMPUTED_VALUE"""),0.0)</f>
        <v>0</v>
      </c>
      <c r="F83" s="11">
        <f>IFERROR(__xludf.DUMMYFUNCTION("""COMPUTED_VALUE"""),0.0)</f>
        <v>0</v>
      </c>
      <c r="G83" s="11">
        <f>IFERROR(__xludf.DUMMYFUNCTION("""COMPUTED_VALUE"""),0.0)</f>
        <v>0</v>
      </c>
      <c r="H83" s="66"/>
      <c r="I83" s="11"/>
      <c r="J83" s="11">
        <f>IFERROR(__xludf.DUMMYFUNCTION("""COMPUTED_VALUE"""),0.0)</f>
        <v>0</v>
      </c>
      <c r="K83" s="11"/>
      <c r="L83" s="11"/>
      <c r="M83" s="11"/>
      <c r="N83" s="11"/>
      <c r="O83" s="24">
        <f>IFERROR(__xludf.DUMMYFUNCTION("""COMPUTED_VALUE"""),0.0)</f>
        <v>0</v>
      </c>
      <c r="P83" s="16">
        <f>IFERROR(__xludf.DUMMYFUNCTION("""COMPUTED_VALUE"""),0.0)</f>
        <v>0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IFERROR(__xludf.DUMMYFUNCTION("""COMPUTED_VALUE"""),0.0)</f>
        <v>0</v>
      </c>
      <c r="C84" s="24">
        <f>IFERROR(__xludf.DUMMYFUNCTION("""COMPUTED_VALUE"""),0.0)</f>
        <v>0</v>
      </c>
      <c r="D84" s="24">
        <f>IFERROR(__xludf.DUMMYFUNCTION("""COMPUTED_VALUE"""),-484.0)</f>
        <v>-484</v>
      </c>
      <c r="E84" s="24">
        <f>IFERROR(__xludf.DUMMYFUNCTION("""COMPUTED_VALUE"""),770.0)</f>
        <v>770</v>
      </c>
      <c r="F84" s="24">
        <f>IFERROR(__xludf.DUMMYFUNCTION("""COMPUTED_VALUE"""),0.0)</f>
        <v>0</v>
      </c>
      <c r="G84" s="24">
        <f>IFERROR(__xludf.DUMMYFUNCTION("""COMPUTED_VALUE"""),0.0)</f>
        <v>0</v>
      </c>
      <c r="H84" s="66">
        <f>IFERROR(__xludf.DUMMYFUNCTION("""COMPUTED_VALUE"""),0.0)</f>
        <v>0</v>
      </c>
      <c r="I84" s="24">
        <f>IFERROR(__xludf.DUMMYFUNCTION("""COMPUTED_VALUE"""),0.0)</f>
        <v>0</v>
      </c>
      <c r="J84" s="24">
        <f>IFERROR(__xludf.DUMMYFUNCTION("""COMPUTED_VALUE"""),0.0)</f>
        <v>0</v>
      </c>
      <c r="K84" s="24">
        <f>IFERROR(__xludf.DUMMYFUNCTION("""COMPUTED_VALUE"""),0.0)</f>
        <v>0</v>
      </c>
      <c r="L84" s="24">
        <f>IFERROR(__xludf.DUMMYFUNCTION("""COMPUTED_VALUE"""),0.0)</f>
        <v>0</v>
      </c>
      <c r="M84" s="24">
        <f>IFERROR(__xludf.DUMMYFUNCTION("""COMPUTED_VALUE"""),0.0)</f>
        <v>0</v>
      </c>
      <c r="N84" s="24">
        <f>IFERROR(__xludf.DUMMYFUNCTION("""COMPUTED_VALUE"""),0.0)</f>
        <v>0</v>
      </c>
      <c r="O84" s="24">
        <f>IFERROR(__xludf.DUMMYFUNCTION("""COMPUTED_VALUE"""),286.0)</f>
        <v>286</v>
      </c>
      <c r="P84" s="16">
        <f>IFERROR(__xludf.DUMMYFUNCTION("""COMPUTED_VALUE"""),4.25433358170113E-6)</f>
        <v>0.000004254333582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/>
      <c r="C85" s="11"/>
      <c r="D85" s="11">
        <f>IFERROR(__xludf.DUMMYFUNCTION("""COMPUTED_VALUE"""),-484.0)</f>
        <v>-484</v>
      </c>
      <c r="E85" s="11">
        <f>IFERROR(__xludf.DUMMYFUNCTION("""COMPUTED_VALUE"""),770.0)</f>
        <v>770</v>
      </c>
      <c r="F85" s="11">
        <f>IFERROR(__xludf.DUMMYFUNCTION("""COMPUTED_VALUE"""),0.0)</f>
        <v>0</v>
      </c>
      <c r="G85" s="11">
        <f>IFERROR(__xludf.DUMMYFUNCTION("""COMPUTED_VALUE"""),0.0)</f>
        <v>0</v>
      </c>
      <c r="H85" s="66"/>
      <c r="I85" s="11">
        <f>IFERROR(__xludf.DUMMYFUNCTION("""COMPUTED_VALUE"""),0.0)</f>
        <v>0</v>
      </c>
      <c r="J85" s="11">
        <f>IFERROR(__xludf.DUMMYFUNCTION("""COMPUTED_VALUE"""),0.0)</f>
        <v>0</v>
      </c>
      <c r="K85" s="11"/>
      <c r="L85" s="11"/>
      <c r="M85" s="11"/>
      <c r="N85" s="11"/>
      <c r="O85" s="77">
        <f>IFERROR(__xludf.DUMMYFUNCTION("""COMPUTED_VALUE"""),286.0)</f>
        <v>286</v>
      </c>
      <c r="P85" s="78">
        <f>IFERROR(__xludf.DUMMYFUNCTION("""COMPUTED_VALUE"""),1.0)</f>
        <v>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11"/>
      <c r="D86" s="11"/>
      <c r="E86" s="11">
        <f>IFERROR(__xludf.DUMMYFUNCTION("""COMPUTED_VALUE"""),0.0)</f>
        <v>0</v>
      </c>
      <c r="F86" s="11">
        <f>IFERROR(__xludf.DUMMYFUNCTION("""COMPUTED_VALUE"""),0.0)</f>
        <v>0</v>
      </c>
      <c r="G86" s="11">
        <f>IFERROR(__xludf.DUMMYFUNCTION("""COMPUTED_VALUE"""),0.0)</f>
        <v>0</v>
      </c>
      <c r="H86" s="66"/>
      <c r="I86" s="11">
        <f>IFERROR(__xludf.DUMMYFUNCTION("""COMPUTED_VALUE"""),0.0)</f>
        <v>0</v>
      </c>
      <c r="J86" s="11">
        <f>IFERROR(__xludf.DUMMYFUNCTION("""COMPUTED_VALUE"""),0.0)</f>
        <v>0</v>
      </c>
      <c r="K86" s="11">
        <f>IFERROR(__xludf.DUMMYFUNCTION("""COMPUTED_VALUE"""),0.0)</f>
        <v>0</v>
      </c>
      <c r="L86" s="11">
        <f>IFERROR(__xludf.DUMMYFUNCTION("""COMPUTED_VALUE"""),0.0)</f>
        <v>0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77">
        <f>IFERROR(__xludf.DUMMYFUNCTION("""COMPUTED_VALUE"""),0.0)</f>
        <v>0</v>
      </c>
      <c r="P86" s="78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11"/>
      <c r="D87" s="11"/>
      <c r="E87" s="11">
        <f>IFERROR(__xludf.DUMMYFUNCTION("""COMPUTED_VALUE"""),0.0)</f>
        <v>0</v>
      </c>
      <c r="F87" s="11">
        <f>IFERROR(__xludf.DUMMYFUNCTION("""COMPUTED_VALUE"""),0.0)</f>
        <v>0</v>
      </c>
      <c r="G87" s="11">
        <f>IFERROR(__xludf.DUMMYFUNCTION("""COMPUTED_VALUE"""),0.0)</f>
        <v>0</v>
      </c>
      <c r="H87" s="66"/>
      <c r="I87" s="11">
        <f>IFERROR(__xludf.DUMMYFUNCTION("""COMPUTED_VALUE"""),0.0)</f>
        <v>0</v>
      </c>
      <c r="J87" s="11">
        <f>IFERROR(__xludf.DUMMYFUNCTION("""COMPUTED_VALUE"""),0.0)</f>
        <v>0</v>
      </c>
      <c r="K87" s="11">
        <f>IFERROR(__xludf.DUMMYFUNCTION("""COMPUTED_VALUE"""),0.0)</f>
        <v>0</v>
      </c>
      <c r="L87" s="11">
        <f>IFERROR(__xludf.DUMMYFUNCTION("""COMPUTED_VALUE"""),0.0)</f>
        <v>0</v>
      </c>
      <c r="M87" s="11">
        <f>IFERROR(__xludf.DUMMYFUNCTION("""COMPUTED_VALUE"""),0.0)</f>
        <v>0</v>
      </c>
      <c r="N87" s="11">
        <f>IFERROR(__xludf.DUMMYFUNCTION("""COMPUTED_VALUE"""),0.0)</f>
        <v>0</v>
      </c>
      <c r="O87" s="77">
        <f>IFERROR(__xludf.DUMMYFUNCTION("""COMPUTED_VALUE"""),0.0)</f>
        <v>0</v>
      </c>
      <c r="P87" s="78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11"/>
      <c r="D88" s="11"/>
      <c r="E88" s="11">
        <f>IFERROR(__xludf.DUMMYFUNCTION("""COMPUTED_VALUE"""),0.0)</f>
        <v>0</v>
      </c>
      <c r="F88" s="11">
        <f>IFERROR(__xludf.DUMMYFUNCTION("""COMPUTED_VALUE"""),0.0)</f>
        <v>0</v>
      </c>
      <c r="G88" s="11">
        <f>IFERROR(__xludf.DUMMYFUNCTION("""COMPUTED_VALUE"""),0.0)</f>
        <v>0</v>
      </c>
      <c r="H88" s="66"/>
      <c r="I88" s="11">
        <f>IFERROR(__xludf.DUMMYFUNCTION("""COMPUTED_VALUE"""),0.0)</f>
        <v>0</v>
      </c>
      <c r="J88" s="11">
        <f>IFERROR(__xludf.DUMMYFUNCTION("""COMPUTED_VALUE"""),0.0)</f>
        <v>0</v>
      </c>
      <c r="K88" s="11">
        <f>IFERROR(__xludf.DUMMYFUNCTION("""COMPUTED_VALUE"""),0.0)</f>
        <v>0</v>
      </c>
      <c r="L88" s="11">
        <f>IFERROR(__xludf.DUMMYFUNCTION("""COMPUTED_VALUE"""),0.0)</f>
        <v>0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77">
        <f>IFERROR(__xludf.DUMMYFUNCTION("""COMPUTED_VALUE"""),0.0)</f>
        <v>0</v>
      </c>
      <c r="P88" s="78">
        <f>IFERROR(__xludf.DUMMYFUNCTION("""COMPUTED_VALUE"""),0.0)</f>
        <v>0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IFERROR(__xludf.DUMMYFUNCTION("""COMPUTED_VALUE"""),0.0)</f>
        <v>0</v>
      </c>
      <c r="C89" s="24">
        <f>IFERROR(__xludf.DUMMYFUNCTION("""COMPUTED_VALUE"""),0.0)</f>
        <v>0</v>
      </c>
      <c r="D89" s="24">
        <f>IFERROR(__xludf.DUMMYFUNCTION("""COMPUTED_VALUE"""),0.0)</f>
        <v>0</v>
      </c>
      <c r="E89" s="24">
        <f>IFERROR(__xludf.DUMMYFUNCTION("""COMPUTED_VALUE"""),33750.0)</f>
        <v>33750</v>
      </c>
      <c r="F89" s="24">
        <f>IFERROR(__xludf.DUMMYFUNCTION("""COMPUTED_VALUE"""),0.0)</f>
        <v>0</v>
      </c>
      <c r="G89" s="24">
        <f>IFERROR(__xludf.DUMMYFUNCTION("""COMPUTED_VALUE"""),265650.0)</f>
        <v>265650</v>
      </c>
      <c r="H89" s="24">
        <f>IFERROR(__xludf.DUMMYFUNCTION("""COMPUTED_VALUE"""),0.0)</f>
        <v>0</v>
      </c>
      <c r="I89" s="24">
        <f>IFERROR(__xludf.DUMMYFUNCTION("""COMPUTED_VALUE"""),119350.0)</f>
        <v>119350</v>
      </c>
      <c r="J89" s="24">
        <f>IFERROR(__xludf.DUMMYFUNCTION("""COMPUTED_VALUE"""),0.0)</f>
        <v>0</v>
      </c>
      <c r="K89" s="24">
        <f>IFERROR(__xludf.DUMMYFUNCTION("""COMPUTED_VALUE"""),0.0)</f>
        <v>0</v>
      </c>
      <c r="L89" s="24">
        <f>IFERROR(__xludf.DUMMYFUNCTION("""COMPUTED_VALUE"""),0.0)</f>
        <v>0</v>
      </c>
      <c r="M89" s="24">
        <f>IFERROR(__xludf.DUMMYFUNCTION("""COMPUTED_VALUE"""),0.0)</f>
        <v>0</v>
      </c>
      <c r="N89" s="24">
        <f>IFERROR(__xludf.DUMMYFUNCTION("""COMPUTED_VALUE"""),0.0)</f>
        <v>0</v>
      </c>
      <c r="O89" s="24">
        <f>IFERROR(__xludf.DUMMYFUNCTION("""COMPUTED_VALUE"""),418750.0)</f>
        <v>418750</v>
      </c>
      <c r="P89" s="16">
        <f>IFERROR(__xludf.DUMMYFUNCTION("""COMPUTED_VALUE"""),0.006229028627053664)</f>
        <v>0.006229028627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11"/>
      <c r="D90" s="11"/>
      <c r="E90" s="11">
        <f>IFERROR(__xludf.DUMMYFUNCTION("""COMPUTED_VALUE"""),0.0)</f>
        <v>0</v>
      </c>
      <c r="F90" s="11">
        <f>IFERROR(__xludf.DUMMYFUNCTION("""COMPUTED_VALUE"""),0.0)</f>
        <v>0</v>
      </c>
      <c r="G90" s="11">
        <f>IFERROR(__xludf.DUMMYFUNCTION("""COMPUTED_VALUE"""),0.0)</f>
        <v>0</v>
      </c>
      <c r="H90" s="66"/>
      <c r="I90" s="11">
        <f>IFERROR(__xludf.DUMMYFUNCTION("""COMPUTED_VALUE"""),0.0)</f>
        <v>0</v>
      </c>
      <c r="J90" s="11">
        <f>IFERROR(__xludf.DUMMYFUNCTION("""COMPUTED_VALUE"""),0.0)</f>
        <v>0</v>
      </c>
      <c r="K90" s="11"/>
      <c r="L90" s="11"/>
      <c r="M90" s="11"/>
      <c r="N90" s="11"/>
      <c r="O90" s="77">
        <f>IFERROR(__xludf.DUMMYFUNCTION("""COMPUTED_VALUE"""),0.0)</f>
        <v>0</v>
      </c>
      <c r="P90" s="78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70"/>
      <c r="C91" s="11"/>
      <c r="D91" s="11"/>
      <c r="E91" s="11">
        <f>IFERROR(__xludf.DUMMYFUNCTION("""COMPUTED_VALUE"""),33750.0)</f>
        <v>33750</v>
      </c>
      <c r="F91" s="11">
        <f>IFERROR(__xludf.DUMMYFUNCTION("""COMPUTED_VALUE"""),0.0)</f>
        <v>0</v>
      </c>
      <c r="G91" s="11">
        <f>IFERROR(__xludf.DUMMYFUNCTION("""COMPUTED_VALUE"""),265650.0)</f>
        <v>265650</v>
      </c>
      <c r="H91" s="66"/>
      <c r="I91" s="11">
        <f>IFERROR(__xludf.DUMMYFUNCTION("""COMPUTED_VALUE"""),119350.0)</f>
        <v>119350</v>
      </c>
      <c r="J91" s="11">
        <f>IFERROR(__xludf.DUMMYFUNCTION("""COMPUTED_VALUE"""),0.0)</f>
        <v>0</v>
      </c>
      <c r="K91" s="11"/>
      <c r="L91" s="11"/>
      <c r="M91" s="11"/>
      <c r="N91" s="11"/>
      <c r="O91" s="77">
        <f>IFERROR(__xludf.DUMMYFUNCTION("""COMPUTED_VALUE"""),418750.0)</f>
        <v>418750</v>
      </c>
      <c r="P91" s="78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67">
        <f>IFERROR(__xludf.DUMMYFUNCTION("""COMPUTED_VALUE"""),7561998.0)</f>
        <v>7561998</v>
      </c>
      <c r="C92" s="11">
        <f>IFERROR(__xludf.DUMMYFUNCTION("""COMPUTED_VALUE"""),130938.0)</f>
        <v>130938</v>
      </c>
      <c r="D92" s="11">
        <f>IFERROR(__xludf.DUMMYFUNCTION("""COMPUTED_VALUE"""),211968.0)</f>
        <v>211968</v>
      </c>
      <c r="E92" s="11">
        <f>IFERROR(__xludf.DUMMYFUNCTION("""COMPUTED_VALUE"""),316700.0)</f>
        <v>316700</v>
      </c>
      <c r="F92" s="11">
        <f>IFERROR(__xludf.DUMMYFUNCTION("""COMPUTED_VALUE"""),503305.0)</f>
        <v>503305</v>
      </c>
      <c r="G92" s="11">
        <f>IFERROR(__xludf.DUMMYFUNCTION("""COMPUTED_VALUE"""),3933996.0)</f>
        <v>3933996</v>
      </c>
      <c r="H92" s="66"/>
      <c r="I92" s="11">
        <f>IFERROR(__xludf.DUMMYFUNCTION("""COMPUTED_VALUE"""),177710.0)</f>
        <v>177710</v>
      </c>
      <c r="J92" s="11">
        <f>IFERROR(__xludf.DUMMYFUNCTION("""COMPUTED_VALUE"""),1480170.0)</f>
        <v>1480170</v>
      </c>
      <c r="K92" s="11"/>
      <c r="L92" s="11"/>
      <c r="M92" s="11"/>
      <c r="N92" s="11"/>
      <c r="O92" s="24">
        <f>IFERROR(__xludf.DUMMYFUNCTION("""COMPUTED_VALUE"""),1.4316785E7)</f>
        <v>14316785</v>
      </c>
      <c r="P92" s="16">
        <f>IFERROR(__xludf.DUMMYFUNCTION("""COMPUTED_VALUE"""),0.21296636086536716)</f>
        <v>0.2129663609</v>
      </c>
      <c r="Q92" s="16"/>
    </row>
    <row r="93" ht="15.75" customHeight="1">
      <c r="A93" s="48" t="str">
        <f>IFERROR(__xludf.DUMMYFUNCTION("""COMPUTED_VALUE"""),"販売促進費")</f>
        <v>販売促進費</v>
      </c>
      <c r="B93" s="70"/>
      <c r="C93" s="11">
        <f>IFERROR(__xludf.DUMMYFUNCTION("""COMPUTED_VALUE"""),313500.0)</f>
        <v>313500</v>
      </c>
      <c r="D93" s="11">
        <f>IFERROR(__xludf.DUMMYFUNCTION("""COMPUTED_VALUE"""),200840.0)</f>
        <v>200840</v>
      </c>
      <c r="E93" s="11">
        <f>IFERROR(__xludf.DUMMYFUNCTION("""COMPUTED_VALUE"""),18630.0)</f>
        <v>18630</v>
      </c>
      <c r="F93" s="11">
        <f>IFERROR(__xludf.DUMMYFUNCTION("""COMPUTED_VALUE"""),178208.0)</f>
        <v>178208</v>
      </c>
      <c r="G93" s="11">
        <f>IFERROR(__xludf.DUMMYFUNCTION("""COMPUTED_VALUE"""),1900200.0)</f>
        <v>1900200</v>
      </c>
      <c r="H93" s="66"/>
      <c r="I93" s="11">
        <f>IFERROR(__xludf.DUMMYFUNCTION("""COMPUTED_VALUE"""),55000.0)</f>
        <v>55000</v>
      </c>
      <c r="J93" s="11">
        <f>IFERROR(__xludf.DUMMYFUNCTION("""COMPUTED_VALUE"""),0.0)</f>
        <v>0</v>
      </c>
      <c r="K93" s="11"/>
      <c r="L93" s="11"/>
      <c r="M93" s="11"/>
      <c r="N93" s="11"/>
      <c r="O93" s="24">
        <f>IFERROR(__xludf.DUMMYFUNCTION("""COMPUTED_VALUE"""),2666378.0)</f>
        <v>2666378</v>
      </c>
      <c r="P93" s="16">
        <f>IFERROR(__xludf.DUMMYFUNCTION("""COMPUTED_VALUE"""),0.03966315198219963)</f>
        <v>0.03966315198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20"/>
      <c r="D94" s="20"/>
      <c r="E94" s="20"/>
      <c r="F94" s="20"/>
      <c r="G94" s="20"/>
      <c r="H94" s="66"/>
      <c r="I94" s="20"/>
      <c r="J94" s="20"/>
      <c r="K94" s="20"/>
      <c r="L94" s="20"/>
      <c r="M94" s="20"/>
      <c r="N94" s="20"/>
      <c r="O94" s="24">
        <f>IFERROR(__xludf.DUMMYFUNCTION("""COMPUTED_VALUE"""),0.0)</f>
        <v>0</v>
      </c>
      <c r="P94" s="16">
        <f>IFERROR(__xludf.DUMMYFUNCTION("""COMPUTED_VALUE"""),0.0)</f>
        <v>0</v>
      </c>
      <c r="Q94" s="16"/>
    </row>
    <row r="95" ht="15.75" customHeight="1">
      <c r="A95" s="48"/>
      <c r="B95" s="55"/>
      <c r="C95" s="20"/>
      <c r="D95" s="20"/>
      <c r="E95" s="20"/>
      <c r="F95" s="20"/>
      <c r="G95" s="20"/>
      <c r="H95" s="66"/>
      <c r="I95" s="20"/>
      <c r="J95" s="20"/>
      <c r="K95" s="20"/>
      <c r="L95" s="20"/>
      <c r="M95" s="20"/>
      <c r="N95" s="20"/>
      <c r="O95" s="79"/>
      <c r="P95" s="16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IFERROR(__xludf.DUMMYFUNCTION("""COMPUTED_VALUE"""),0.005242544792919481)</f>
        <v>0.005242544793</v>
      </c>
      <c r="C96" s="22">
        <f>IFERROR(__xludf.DUMMYFUNCTION("""COMPUTED_VALUE"""),0.016850125460173265)</f>
        <v>0.01685012546</v>
      </c>
      <c r="D96" s="22">
        <f>IFERROR(__xludf.DUMMYFUNCTION("""COMPUTED_VALUE"""),7.491756947715497)</f>
        <v>7.491756948</v>
      </c>
      <c r="E96" s="22">
        <f>IFERROR(__xludf.DUMMYFUNCTION("""COMPUTED_VALUE"""),0.047471620227038186)</f>
        <v>0.04747162023</v>
      </c>
      <c r="F96" s="22">
        <f>IFERROR(__xludf.DUMMYFUNCTION("""COMPUTED_VALUE"""),0.030070272920411832)</f>
        <v>0.03007027292</v>
      </c>
      <c r="G96" s="22">
        <f>IFERROR(__xludf.DUMMYFUNCTION("""COMPUTED_VALUE"""),0.0820872890901917)</f>
        <v>0.08208728909</v>
      </c>
      <c r="H96" s="66"/>
      <c r="I96" s="22">
        <f>IFERROR(__xludf.DUMMYFUNCTION("""COMPUTED_VALUE"""),0.07246376811594203)</f>
        <v>0.07246376812</v>
      </c>
      <c r="J96" s="22">
        <f>IFERROR(__xludf.DUMMYFUNCTION("""COMPUTED_VALUE"""),0.0)</f>
        <v>0</v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22" t="str">
        <f>IFERROR(__xludf.DUMMYFUNCTION("""COMPUTED_VALUE"""),"")</f>
        <v/>
      </c>
      <c r="N96" s="22" t="str">
        <f>IFERROR(__xludf.DUMMYFUNCTION("""COMPUTED_VALUE"""),"")</f>
        <v/>
      </c>
      <c r="O96" s="22">
        <f>IFERROR(__xludf.DUMMYFUNCTION("""COMPUTED_VALUE"""),0.07805475622550391)</f>
        <v>0.07805475623</v>
      </c>
      <c r="P96" s="22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IFERROR(__xludf.DUMMYFUNCTION("""COMPUTED_VALUE"""),0.1294786962043415)</f>
        <v>0.1294786962</v>
      </c>
      <c r="C97" s="22">
        <f>IFERROR(__xludf.DUMMYFUNCTION("""COMPUTED_VALUE"""),1.184904152423704)</f>
        <v>1.184904152</v>
      </c>
      <c r="D97" s="22">
        <f>IFERROR(__xludf.DUMMYFUNCTION("""COMPUTED_VALUE"""),22.04782442298634)</f>
        <v>22.04782442</v>
      </c>
      <c r="E97" s="22">
        <f>IFERROR(__xludf.DUMMYFUNCTION("""COMPUTED_VALUE"""),3.566394596115958)</f>
        <v>3.566394596</v>
      </c>
      <c r="F97" s="22">
        <f>IFERROR(__xludf.DUMMYFUNCTION("""COMPUTED_VALUE"""),2.4569154199289844)</f>
        <v>2.45691542</v>
      </c>
      <c r="G97" s="22">
        <f>IFERROR(__xludf.DUMMYFUNCTION("""COMPUTED_VALUE"""),0.706073067200028)</f>
        <v>0.7060730672</v>
      </c>
      <c r="H97" s="66"/>
      <c r="I97" s="22">
        <f>IFERROR(__xludf.DUMMYFUNCTION("""COMPUTED_VALUE"""),6.018055921534183)</f>
        <v>6.018055922</v>
      </c>
      <c r="J97" s="22">
        <f>IFERROR(__xludf.DUMMYFUNCTION("""COMPUTED_VALUE"""),1.9565604893998523)</f>
        <v>1.956560489</v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22" t="str">
        <f>IFERROR(__xludf.DUMMYFUNCTION("""COMPUTED_VALUE"""),"")</f>
        <v/>
      </c>
      <c r="N97" s="22" t="str">
        <f>IFERROR(__xludf.DUMMYFUNCTION("""COMPUTED_VALUE"""),"")</f>
        <v/>
      </c>
      <c r="O97" s="22" t="str">
        <f>IFERROR(__xludf.DUMMYFUNCTION("""COMPUTED_VALUE"""),"")</f>
        <v/>
      </c>
      <c r="P97" s="22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IFERROR(__xludf.DUMMYFUNCTION("""COMPUTED_VALUE"""),1823275.3636363638)</f>
        <v>1823275.364</v>
      </c>
      <c r="C98" s="24">
        <f>IFERROR(__xludf.DUMMYFUNCTION("""COMPUTED_VALUE"""),163348.81818181818)</f>
        <v>163348.8182</v>
      </c>
      <c r="D98" s="24">
        <f>IFERROR(__xludf.DUMMYFUNCTION("""COMPUTED_VALUE"""),-313294.36363636365)</f>
        <v>-313294.3636</v>
      </c>
      <c r="E98" s="24">
        <f>IFERROR(__xludf.DUMMYFUNCTION("""COMPUTED_VALUE"""),-285806.0)</f>
        <v>-285806</v>
      </c>
      <c r="F98" s="24">
        <f>IFERROR(__xludf.DUMMYFUNCTION("""COMPUTED_VALUE"""),6069.090909090909)</f>
        <v>6069.090909</v>
      </c>
      <c r="G98" s="24">
        <f>IFERROR(__xludf.DUMMYFUNCTION("""COMPUTED_VALUE"""),-160849.54545454547)</f>
        <v>-160849.5455</v>
      </c>
      <c r="H98" s="24"/>
      <c r="I98" s="24">
        <f>IFERROR(__xludf.DUMMYFUNCTION("""COMPUTED_VALUE"""),-151038.18181818182)</f>
        <v>-151038.1818</v>
      </c>
      <c r="J98" s="24">
        <f>IFERROR(__xludf.DUMMYFUNCTION("""COMPUTED_VALUE"""),5135.818181818182)</f>
        <v>5135.818182</v>
      </c>
      <c r="K98" s="24">
        <f>IFERROR(__xludf.DUMMYFUNCTION("""COMPUTED_VALUE"""),0.0)</f>
        <v>0</v>
      </c>
      <c r="L98" s="24">
        <f>IFERROR(__xludf.DUMMYFUNCTION("""COMPUTED_VALUE"""),0.0)</f>
        <v>0</v>
      </c>
      <c r="M98" s="24">
        <f>IFERROR(__xludf.DUMMYFUNCTION("""COMPUTED_VALUE"""),0.0)</f>
        <v>0</v>
      </c>
      <c r="N98" s="24">
        <f>IFERROR(__xludf.DUMMYFUNCTION("""COMPUTED_VALUE"""),0.0)</f>
        <v>0</v>
      </c>
      <c r="O98" s="24">
        <f>IFERROR(__xludf.DUMMYFUNCTION("""COMPUTED_VALUE"""),1086841.0)</f>
        <v>1086841</v>
      </c>
      <c r="P98" s="16"/>
      <c r="Q98" s="16"/>
    </row>
    <row r="99" ht="15.75" customHeight="1">
      <c r="A99" s="48"/>
      <c r="B99" s="46"/>
      <c r="C99" s="24"/>
      <c r="D99" s="24"/>
      <c r="E99" s="24"/>
      <c r="F99" s="24"/>
      <c r="G99" s="24"/>
      <c r="H99" s="66"/>
      <c r="I99" s="24"/>
      <c r="J99" s="24"/>
      <c r="K99" s="24"/>
      <c r="L99" s="24"/>
      <c r="M99" s="24"/>
      <c r="N99" s="24"/>
      <c r="O99" s="24"/>
      <c r="P99" s="16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IFERROR(__xludf.DUMMYFUNCTION("""COMPUTED_VALUE"""),1.4537980636363637E7)</f>
        <v>14537980.64</v>
      </c>
      <c r="C100" s="80">
        <f>IFERROR(__xludf.DUMMYFUNCTION("""COMPUTED_VALUE"""),-1924713.8181818184)</f>
        <v>-1924713.818</v>
      </c>
      <c r="D100" s="80">
        <f>IFERROR(__xludf.DUMMYFUNCTION("""COMPUTED_VALUE"""),-1.0622148636363637E7)</f>
        <v>-10622148.64</v>
      </c>
      <c r="E100" s="80">
        <f>IFERROR(__xludf.DUMMYFUNCTION("""COMPUTED_VALUE"""),-6659480.0)</f>
        <v>-6659480</v>
      </c>
      <c r="F100" s="80">
        <f>IFERROR(__xludf.DUMMYFUNCTION("""COMPUTED_VALUE"""),-4073622.090909091)</f>
        <v>-4073622.091</v>
      </c>
      <c r="G100" s="80">
        <f>IFERROR(__xludf.DUMMYFUNCTION("""COMPUTED_VALUE"""),-5675968.454545455)</f>
        <v>-5675968.455</v>
      </c>
      <c r="H100" s="66"/>
      <c r="I100" s="80">
        <f>IFERROR(__xludf.DUMMYFUNCTION("""COMPUTED_VALUE"""),-5621315.818181818)</f>
        <v>-5621315.818</v>
      </c>
      <c r="J100" s="80">
        <f>IFERROR(__xludf.DUMMYFUNCTION("""COMPUTED_VALUE"""),-4029674.8181818184)</f>
        <v>-4029674.818</v>
      </c>
      <c r="K100" s="80">
        <f>IFERROR(__xludf.DUMMYFUNCTION("""COMPUTED_VALUE"""),0.0)</f>
        <v>0</v>
      </c>
      <c r="L100" s="80">
        <f>IFERROR(__xludf.DUMMYFUNCTION("""COMPUTED_VALUE"""),0.0)</f>
        <v>0</v>
      </c>
      <c r="M100" s="80">
        <f>IFERROR(__xludf.DUMMYFUNCTION("""COMPUTED_VALUE"""),0.0)</f>
        <v>0</v>
      </c>
      <c r="N100" s="80">
        <f>IFERROR(__xludf.DUMMYFUNCTION("""COMPUTED_VALUE"""),0.0)</f>
        <v>0</v>
      </c>
      <c r="O100" s="80">
        <f>IFERROR(__xludf.DUMMYFUNCTION("""COMPUTED_VALUE"""),-2.4068943E7)</f>
        <v>-24068943</v>
      </c>
      <c r="P100" s="22">
        <f>IFERROR(__xludf.DUMMYFUNCTION("""COMPUTED_VALUE"""),-0.5577114031641074)</f>
        <v>-0.5577114032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24">
        <f>IFERROR(__xludf.DUMMYFUNCTION("""COMPUTED_VALUE"""),0.0)</f>
        <v>0</v>
      </c>
      <c r="D101" s="24">
        <f>IFERROR(__xludf.DUMMYFUNCTION("""COMPUTED_VALUE"""),0.0)</f>
        <v>0</v>
      </c>
      <c r="E101" s="24">
        <f>IFERROR(__xludf.DUMMYFUNCTION("""COMPUTED_VALUE"""),0.0)</f>
        <v>0</v>
      </c>
      <c r="F101" s="24">
        <f>IFERROR(__xludf.DUMMYFUNCTION("""COMPUTED_VALUE"""),0.0)</f>
        <v>0</v>
      </c>
      <c r="G101" s="24">
        <f>IFERROR(__xludf.DUMMYFUNCTION("""COMPUTED_VALUE"""),0.0)</f>
        <v>0</v>
      </c>
      <c r="H101" s="66"/>
      <c r="I101" s="24">
        <f>IFERROR(__xludf.DUMMYFUNCTION("""COMPUTED_VALUE"""),0.0)</f>
        <v>0</v>
      </c>
      <c r="J101" s="24">
        <f>IFERROR(__xludf.DUMMYFUNCTION("""COMPUTED_VALUE"""),0.0)</f>
        <v>0</v>
      </c>
      <c r="K101" s="24">
        <f>IFERROR(__xludf.DUMMYFUNCTION("""COMPUTED_VALUE"""),0.0)</f>
        <v>0</v>
      </c>
      <c r="L101" s="24">
        <f>IFERROR(__xludf.DUMMYFUNCTION("""COMPUTED_VALUE"""),0.0)</f>
        <v>0</v>
      </c>
      <c r="M101" s="24">
        <f>IFERROR(__xludf.DUMMYFUNCTION("""COMPUTED_VALUE"""),0.0)</f>
        <v>0</v>
      </c>
      <c r="N101" s="24">
        <f>IFERROR(__xludf.DUMMYFUNCTION("""COMPUTED_VALUE"""),0.0)</f>
        <v>0</v>
      </c>
      <c r="O101" s="24">
        <f>IFERROR(__xludf.DUMMYFUNCTION("""COMPUTED_VALUE"""),0.0)</f>
        <v>0</v>
      </c>
      <c r="P101" s="16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11"/>
      <c r="D102" s="11"/>
      <c r="E102" s="11"/>
      <c r="F102" s="11"/>
      <c r="G102" s="11"/>
      <c r="H102" s="66"/>
      <c r="I102" s="11"/>
      <c r="J102" s="11"/>
      <c r="K102" s="11"/>
      <c r="L102" s="11"/>
      <c r="M102" s="11"/>
      <c r="N102" s="11"/>
      <c r="O102" s="77">
        <f>IFERROR(__xludf.DUMMYFUNCTION("""COMPUTED_VALUE"""),0.0)</f>
        <v>0</v>
      </c>
      <c r="P102" s="78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11"/>
      <c r="D103" s="11"/>
      <c r="E103" s="11"/>
      <c r="F103" s="11"/>
      <c r="G103" s="11"/>
      <c r="H103" s="66"/>
      <c r="I103" s="11"/>
      <c r="J103" s="11"/>
      <c r="K103" s="11"/>
      <c r="L103" s="11"/>
      <c r="M103" s="11"/>
      <c r="N103" s="11"/>
      <c r="O103" s="77">
        <f>IFERROR(__xludf.DUMMYFUNCTION("""COMPUTED_VALUE"""),0.0)</f>
        <v>0</v>
      </c>
      <c r="P103" s="78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11"/>
      <c r="D104" s="11"/>
      <c r="E104" s="11"/>
      <c r="F104" s="11"/>
      <c r="G104" s="11"/>
      <c r="H104" s="66"/>
      <c r="I104" s="11"/>
      <c r="J104" s="11"/>
      <c r="K104" s="11"/>
      <c r="L104" s="11"/>
      <c r="M104" s="11"/>
      <c r="N104" s="11"/>
      <c r="O104" s="77">
        <f>IFERROR(__xludf.DUMMYFUNCTION("""COMPUTED_VALUE"""),0.0)</f>
        <v>0</v>
      </c>
      <c r="P104" s="78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24">
        <f>IFERROR(__xludf.DUMMYFUNCTION("""COMPUTED_VALUE"""),0.0)</f>
        <v>0</v>
      </c>
      <c r="D105" s="24">
        <f>IFERROR(__xludf.DUMMYFUNCTION("""COMPUTED_VALUE"""),0.0)</f>
        <v>0</v>
      </c>
      <c r="E105" s="24">
        <f>IFERROR(__xludf.DUMMYFUNCTION("""COMPUTED_VALUE"""),0.0)</f>
        <v>0</v>
      </c>
      <c r="F105" s="24">
        <f>IFERROR(__xludf.DUMMYFUNCTION("""COMPUTED_VALUE"""),0.0)</f>
        <v>0</v>
      </c>
      <c r="G105" s="24">
        <f>IFERROR(__xludf.DUMMYFUNCTION("""COMPUTED_VALUE"""),0.0)</f>
        <v>0</v>
      </c>
      <c r="H105" s="66"/>
      <c r="I105" s="24">
        <f>IFERROR(__xludf.DUMMYFUNCTION("""COMPUTED_VALUE"""),0.0)</f>
        <v>0</v>
      </c>
      <c r="J105" s="24">
        <f>IFERROR(__xludf.DUMMYFUNCTION("""COMPUTED_VALUE"""),0.0)</f>
        <v>0</v>
      </c>
      <c r="K105" s="24">
        <f>IFERROR(__xludf.DUMMYFUNCTION("""COMPUTED_VALUE"""),0.0)</f>
        <v>0</v>
      </c>
      <c r="L105" s="24">
        <f>IFERROR(__xludf.DUMMYFUNCTION("""COMPUTED_VALUE"""),0.0)</f>
        <v>0</v>
      </c>
      <c r="M105" s="24">
        <f>IFERROR(__xludf.DUMMYFUNCTION("""COMPUTED_VALUE"""),0.0)</f>
        <v>0</v>
      </c>
      <c r="N105" s="24">
        <f>IFERROR(__xludf.DUMMYFUNCTION("""COMPUTED_VALUE"""),0.0)</f>
        <v>0</v>
      </c>
      <c r="O105" s="24">
        <f>IFERROR(__xludf.DUMMYFUNCTION("""COMPUTED_VALUE"""),0.0)</f>
        <v>0</v>
      </c>
      <c r="P105" s="16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11"/>
      <c r="D106" s="11"/>
      <c r="E106" s="11"/>
      <c r="F106" s="11"/>
      <c r="G106" s="11"/>
      <c r="H106" s="66"/>
      <c r="I106" s="11"/>
      <c r="J106" s="11">
        <f>IFERROR(__xludf.DUMMYFUNCTION("""COMPUTED_VALUE"""),0.0)</f>
        <v>0</v>
      </c>
      <c r="K106" s="11"/>
      <c r="L106" s="11"/>
      <c r="M106" s="11"/>
      <c r="N106" s="11"/>
      <c r="O106" s="77">
        <f>IFERROR(__xludf.DUMMYFUNCTION("""COMPUTED_VALUE"""),0.0)</f>
        <v>0</v>
      </c>
      <c r="P106" s="78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11"/>
      <c r="D107" s="11"/>
      <c r="E107" s="11"/>
      <c r="F107" s="11"/>
      <c r="G107" s="11"/>
      <c r="H107" s="66"/>
      <c r="I107" s="11"/>
      <c r="J107" s="11">
        <f>IFERROR(__xludf.DUMMYFUNCTION("""COMPUTED_VALUE"""),0.0)</f>
        <v>0</v>
      </c>
      <c r="K107" s="11"/>
      <c r="L107" s="11"/>
      <c r="M107" s="11"/>
      <c r="N107" s="11"/>
      <c r="O107" s="77">
        <f>IFERROR(__xludf.DUMMYFUNCTION("""COMPUTED_VALUE"""),0.0)</f>
        <v>0</v>
      </c>
      <c r="P107" s="78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IFERROR(__xludf.DUMMYFUNCTION("""COMPUTED_VALUE"""),1.4537980636363637E7)</f>
        <v>14537980.64</v>
      </c>
      <c r="C108" s="80">
        <f>IFERROR(__xludf.DUMMYFUNCTION("""COMPUTED_VALUE"""),-1924713.8181818184)</f>
        <v>-1924713.818</v>
      </c>
      <c r="D108" s="80">
        <f>IFERROR(__xludf.DUMMYFUNCTION("""COMPUTED_VALUE"""),-1.0622148636363637E7)</f>
        <v>-10622148.64</v>
      </c>
      <c r="E108" s="80">
        <f>IFERROR(__xludf.DUMMYFUNCTION("""COMPUTED_VALUE"""),-6659480.0)</f>
        <v>-6659480</v>
      </c>
      <c r="F108" s="80">
        <f>IFERROR(__xludf.DUMMYFUNCTION("""COMPUTED_VALUE"""),-4073622.090909091)</f>
        <v>-4073622.091</v>
      </c>
      <c r="G108" s="80">
        <f>IFERROR(__xludf.DUMMYFUNCTION("""COMPUTED_VALUE"""),-5675968.454545455)</f>
        <v>-5675968.455</v>
      </c>
      <c r="H108" s="66"/>
      <c r="I108" s="80">
        <f>IFERROR(__xludf.DUMMYFUNCTION("""COMPUTED_VALUE"""),-5621315.818181818)</f>
        <v>-5621315.818</v>
      </c>
      <c r="J108" s="80">
        <f>IFERROR(__xludf.DUMMYFUNCTION("""COMPUTED_VALUE"""),-4029674.8181818184)</f>
        <v>-4029674.818</v>
      </c>
      <c r="K108" s="80">
        <f>IFERROR(__xludf.DUMMYFUNCTION("""COMPUTED_VALUE"""),0.0)</f>
        <v>0</v>
      </c>
      <c r="L108" s="80">
        <f>IFERROR(__xludf.DUMMYFUNCTION("""COMPUTED_VALUE"""),0.0)</f>
        <v>0</v>
      </c>
      <c r="M108" s="80">
        <f>IFERROR(__xludf.DUMMYFUNCTION("""COMPUTED_VALUE"""),0.0)</f>
        <v>0</v>
      </c>
      <c r="N108" s="80">
        <f>IFERROR(__xludf.DUMMYFUNCTION("""COMPUTED_VALUE"""),0.0)</f>
        <v>0</v>
      </c>
      <c r="O108" s="80">
        <f>IFERROR(__xludf.DUMMYFUNCTION("""COMPUTED_VALUE"""),-2.4068943E7)</f>
        <v>-24068943</v>
      </c>
      <c r="P108" s="22">
        <f>IFERROR(__xludf.DUMMYFUNCTION("""COMPUTED_VALUE"""),-0.5577114031641074)</f>
        <v>-0.5577114032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IFERROR(__xludf.DUMMYFUNCTION("""COMPUTED_VALUE"""),5815192.254545455)</f>
        <v>5815192.255</v>
      </c>
      <c r="C109" s="24">
        <f>IFERROR(__xludf.DUMMYFUNCTION("""COMPUTED_VALUE"""),-769885.5272727273)</f>
        <v>-769885.5273</v>
      </c>
      <c r="D109" s="24">
        <f>IFERROR(__xludf.DUMMYFUNCTION("""COMPUTED_VALUE"""),-4248859.454545455)</f>
        <v>-4248859.455</v>
      </c>
      <c r="E109" s="24">
        <f>IFERROR(__xludf.DUMMYFUNCTION("""COMPUTED_VALUE"""),-2663792.0)</f>
        <v>-2663792</v>
      </c>
      <c r="F109" s="24">
        <f>IFERROR(__xludf.DUMMYFUNCTION("""COMPUTED_VALUE"""),-1629448.8363636364)</f>
        <v>-1629448.836</v>
      </c>
      <c r="G109" s="24">
        <f>IFERROR(__xludf.DUMMYFUNCTION("""COMPUTED_VALUE"""),-2270387.3818181823)</f>
        <v>-2270387.382</v>
      </c>
      <c r="H109" s="66"/>
      <c r="I109" s="24">
        <f>IFERROR(__xludf.DUMMYFUNCTION("""COMPUTED_VALUE"""),-2248526.3272727276)</f>
        <v>-2248526.327</v>
      </c>
      <c r="J109" s="24">
        <f>IFERROR(__xludf.DUMMYFUNCTION("""COMPUTED_VALUE"""),-1611869.9272727275)</f>
        <v>-1611869.927</v>
      </c>
      <c r="K109" s="24">
        <f>IFERROR(__xludf.DUMMYFUNCTION("""COMPUTED_VALUE"""),0.0)</f>
        <v>0</v>
      </c>
      <c r="L109" s="24">
        <f>IFERROR(__xludf.DUMMYFUNCTION("""COMPUTED_VALUE"""),0.0)</f>
        <v>0</v>
      </c>
      <c r="M109" s="24">
        <f>IFERROR(__xludf.DUMMYFUNCTION("""COMPUTED_VALUE"""),0.0)</f>
        <v>0</v>
      </c>
      <c r="N109" s="24">
        <f>IFERROR(__xludf.DUMMYFUNCTION("""COMPUTED_VALUE"""),0.0)</f>
        <v>0</v>
      </c>
      <c r="O109" s="24">
        <f>IFERROR(__xludf.DUMMYFUNCTION("""COMPUTED_VALUE"""),-9627577.200000001)</f>
        <v>-9627577.2</v>
      </c>
      <c r="P109" s="16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IFERROR(__xludf.DUMMYFUNCTION("""COMPUTED_VALUE"""),8722788.381818183)</f>
        <v>8722788.382</v>
      </c>
      <c r="C110" s="80">
        <f>IFERROR(__xludf.DUMMYFUNCTION("""COMPUTED_VALUE"""),-1154828.290909091)</f>
        <v>-1154828.291</v>
      </c>
      <c r="D110" s="80">
        <f>IFERROR(__xludf.DUMMYFUNCTION("""COMPUTED_VALUE"""),-6373289.181818182)</f>
        <v>-6373289.182</v>
      </c>
      <c r="E110" s="80">
        <f>IFERROR(__xludf.DUMMYFUNCTION("""COMPUTED_VALUE"""),-3995688.0)</f>
        <v>-3995688</v>
      </c>
      <c r="F110" s="80">
        <f>IFERROR(__xludf.DUMMYFUNCTION("""COMPUTED_VALUE"""),-2444173.2545454544)</f>
        <v>-2444173.255</v>
      </c>
      <c r="G110" s="80">
        <f>IFERROR(__xludf.DUMMYFUNCTION("""COMPUTED_VALUE"""),-3405581.0727272728)</f>
        <v>-3405581.073</v>
      </c>
      <c r="H110" s="66"/>
      <c r="I110" s="80">
        <f>IFERROR(__xludf.DUMMYFUNCTION("""COMPUTED_VALUE"""),-3372789.4909090907)</f>
        <v>-3372789.491</v>
      </c>
      <c r="J110" s="80">
        <f>IFERROR(__xludf.DUMMYFUNCTION("""COMPUTED_VALUE"""),-2417804.8909090906)</f>
        <v>-2417804.891</v>
      </c>
      <c r="K110" s="80">
        <f>IFERROR(__xludf.DUMMYFUNCTION("""COMPUTED_VALUE"""),0.0)</f>
        <v>0</v>
      </c>
      <c r="L110" s="80">
        <f>IFERROR(__xludf.DUMMYFUNCTION("""COMPUTED_VALUE"""),0.0)</f>
        <v>0</v>
      </c>
      <c r="M110" s="80">
        <f>IFERROR(__xludf.DUMMYFUNCTION("""COMPUTED_VALUE"""),0.0)</f>
        <v>0</v>
      </c>
      <c r="N110" s="80">
        <f>IFERROR(__xludf.DUMMYFUNCTION("""COMPUTED_VALUE"""),0.0)</f>
        <v>0</v>
      </c>
      <c r="O110" s="80">
        <f>IFERROR(__xludf.DUMMYFUNCTION("""COMPUTED_VALUE"""),-1.4441365799999997E7)</f>
        <v>-14441365.8</v>
      </c>
      <c r="P110" s="22">
        <f>IFERROR(__xludf.DUMMYFUNCTION("""COMPUTED_VALUE"""),-0.3346268418984643)</f>
        <v>-0.3346268419</v>
      </c>
      <c r="Q110" s="16"/>
    </row>
    <row r="111" ht="15.75" customHeight="1">
      <c r="A111" s="48"/>
      <c r="B111" s="46"/>
      <c r="C111" s="24"/>
      <c r="D111" s="24"/>
      <c r="E111" s="24"/>
      <c r="F111" s="24"/>
      <c r="G111" s="24"/>
      <c r="H111" s="66"/>
      <c r="I111" s="24"/>
      <c r="J111" s="24"/>
      <c r="K111" s="24"/>
      <c r="L111" s="24"/>
      <c r="M111" s="24"/>
      <c r="N111" s="24"/>
      <c r="O111" s="24"/>
      <c r="P111" s="16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IFERROR(__xludf.DUMMYFUNCTION("""COMPUTED_VALUE"""),2422996.772727273)</f>
        <v>2422996.773</v>
      </c>
      <c r="C112" s="80">
        <f>IFERROR(__xludf.DUMMYFUNCTION("""COMPUTED_VALUE"""),-320785.6363636364)</f>
        <v>-320785.6364</v>
      </c>
      <c r="D112" s="80">
        <f>IFERROR(__xludf.DUMMYFUNCTION("""COMPUTED_VALUE"""),-1770358.1060606062)</f>
        <v>-1770358.106</v>
      </c>
      <c r="E112" s="80">
        <f>IFERROR(__xludf.DUMMYFUNCTION("""COMPUTED_VALUE"""),-1109913.3333333333)</f>
        <v>-1109913.333</v>
      </c>
      <c r="F112" s="80">
        <f>IFERROR(__xludf.DUMMYFUNCTION("""COMPUTED_VALUE"""),-581946.012987013)</f>
        <v>-581946.013</v>
      </c>
      <c r="G112" s="80">
        <f>IFERROR(__xludf.DUMMYFUNCTION("""COMPUTED_VALUE"""),-810852.6363636365)</f>
        <v>-810852.6364</v>
      </c>
      <c r="H112" s="66"/>
      <c r="I112" s="80">
        <f>IFERROR(__xludf.DUMMYFUNCTION("""COMPUTED_VALUE"""),-803045.1168831169)</f>
        <v>-803045.1169</v>
      </c>
      <c r="J112" s="80">
        <f>IFERROR(__xludf.DUMMYFUNCTION("""COMPUTED_VALUE"""),-575667.8311688312)</f>
        <v>-575667.8312</v>
      </c>
      <c r="K112" s="80" t="str">
        <f>IFERROR(__xludf.DUMMYFUNCTION("""COMPUTED_VALUE"""),"")</f>
        <v/>
      </c>
      <c r="L112" s="80" t="str">
        <f>IFERROR(__xludf.DUMMYFUNCTION("""COMPUTED_VALUE"""),"")</f>
        <v/>
      </c>
      <c r="M112" s="80" t="str">
        <f>IFERROR(__xludf.DUMMYFUNCTION("""COMPUTED_VALUE"""),"")</f>
        <v/>
      </c>
      <c r="N112" s="80" t="str">
        <f>IFERROR(__xludf.DUMMYFUNCTION("""COMPUTED_VALUE"""),"")</f>
        <v/>
      </c>
      <c r="O112" s="80">
        <f>IFERROR(__xludf.DUMMYFUNCTION("""COMPUTED_VALUE"""),-462864.28846153844)</f>
        <v>-462864.2885</v>
      </c>
      <c r="P112" s="22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IFERROR(__xludf.DUMMYFUNCTION("""COMPUTED_VALUE"""),6.0)</f>
        <v>6</v>
      </c>
      <c r="C113" s="81">
        <f>IFERROR(__xludf.DUMMYFUNCTION("""COMPUTED_VALUE"""),6.0)</f>
        <v>6</v>
      </c>
      <c r="D113" s="81">
        <f>IFERROR(__xludf.DUMMYFUNCTION("""COMPUTED_VALUE"""),6.0)</f>
        <v>6</v>
      </c>
      <c r="E113" s="81">
        <f>IFERROR(__xludf.DUMMYFUNCTION("""COMPUTED_VALUE"""),6.0)</f>
        <v>6</v>
      </c>
      <c r="F113" s="81">
        <f>IFERROR(__xludf.DUMMYFUNCTION("""COMPUTED_VALUE"""),7.0)</f>
        <v>7</v>
      </c>
      <c r="G113" s="81">
        <f>IFERROR(__xludf.DUMMYFUNCTION("""COMPUTED_VALUE"""),7.0)</f>
        <v>7</v>
      </c>
      <c r="H113" s="82"/>
      <c r="I113" s="81">
        <f>IFERROR(__xludf.DUMMYFUNCTION("""COMPUTED_VALUE"""),7.0)</f>
        <v>7</v>
      </c>
      <c r="J113" s="81">
        <f>IFERROR(__xludf.DUMMYFUNCTION("""COMPUTED_VALUE"""),7.0)</f>
        <v>7</v>
      </c>
      <c r="K113" s="81"/>
      <c r="L113" s="81"/>
      <c r="M113" s="81"/>
      <c r="N113" s="81"/>
      <c r="O113" s="79">
        <f>IFERROR(__xludf.DUMMYFUNCTION("""COMPUTED_VALUE"""),52.0)</f>
        <v>52</v>
      </c>
      <c r="P113" s="16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IFERROR(__xludf.DUMMYFUNCTION("""COMPUTED_VALUE"""),1.0)</f>
        <v>1</v>
      </c>
      <c r="C114" s="81">
        <f>IFERROR(__xludf.DUMMYFUNCTION("""COMPUTED_VALUE"""),1.0)</f>
        <v>1</v>
      </c>
      <c r="D114" s="81">
        <f>IFERROR(__xludf.DUMMYFUNCTION("""COMPUTED_VALUE"""),1.0)</f>
        <v>1</v>
      </c>
      <c r="E114" s="81">
        <f>IFERROR(__xludf.DUMMYFUNCTION("""COMPUTED_VALUE"""),1.0)</f>
        <v>1</v>
      </c>
      <c r="F114" s="81">
        <f>IFERROR(__xludf.DUMMYFUNCTION("""COMPUTED_VALUE"""),1.0)</f>
        <v>1</v>
      </c>
      <c r="G114" s="81">
        <f>IFERROR(__xludf.DUMMYFUNCTION("""COMPUTED_VALUE"""),1.0)</f>
        <v>1</v>
      </c>
      <c r="H114" s="82"/>
      <c r="I114" s="81">
        <f>IFERROR(__xludf.DUMMYFUNCTION("""COMPUTED_VALUE"""),1.0)</f>
        <v>1</v>
      </c>
      <c r="J114" s="81">
        <f>IFERROR(__xludf.DUMMYFUNCTION("""COMPUTED_VALUE"""),1.0)</f>
        <v>1</v>
      </c>
      <c r="K114" s="81"/>
      <c r="L114" s="81"/>
      <c r="M114" s="81"/>
      <c r="N114" s="81"/>
      <c r="O114" s="79">
        <f>IFERROR(__xludf.DUMMYFUNCTION("""COMPUTED_VALUE"""),8.0)</f>
        <v>8</v>
      </c>
      <c r="P114" s="16"/>
      <c r="Q114" s="16"/>
    </row>
    <row r="115" ht="15.75" customHeight="1">
      <c r="A115" s="48"/>
      <c r="B115" s="48"/>
      <c r="C115" s="3"/>
      <c r="D115" s="3"/>
      <c r="E115" s="3"/>
      <c r="F115" s="3"/>
      <c r="G115" s="3"/>
      <c r="H115" s="66"/>
      <c r="I115" s="3"/>
      <c r="J115" s="3"/>
      <c r="K115" s="3"/>
      <c r="L115" s="3"/>
      <c r="M115" s="3"/>
      <c r="N115" s="3"/>
      <c r="O115" s="79"/>
      <c r="P115" s="16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IFERROR(__xludf.DUMMYFUNCTION("""COMPUTED_VALUE"""),1.4537980636363637E7)</f>
        <v>14537980.64</v>
      </c>
      <c r="C116" s="80">
        <f>IFERROR(__xludf.DUMMYFUNCTION("""COMPUTED_VALUE"""),-1924713.8181818184)</f>
        <v>-1924713.818</v>
      </c>
      <c r="D116" s="80">
        <f>IFERROR(__xludf.DUMMYFUNCTION("""COMPUTED_VALUE"""),-1.0622148636363637E7)</f>
        <v>-10622148.64</v>
      </c>
      <c r="E116" s="80">
        <f>IFERROR(__xludf.DUMMYFUNCTION("""COMPUTED_VALUE"""),-6659480.0)</f>
        <v>-6659480</v>
      </c>
      <c r="F116" s="80">
        <f>IFERROR(__xludf.DUMMYFUNCTION("""COMPUTED_VALUE"""),-4073622.090909091)</f>
        <v>-4073622.091</v>
      </c>
      <c r="G116" s="80">
        <f>IFERROR(__xludf.DUMMYFUNCTION("""COMPUTED_VALUE"""),-5675968.454545455)</f>
        <v>-5675968.455</v>
      </c>
      <c r="H116" s="66"/>
      <c r="I116" s="80">
        <f>IFERROR(__xludf.DUMMYFUNCTION("""COMPUTED_VALUE"""),-5621315.818181818)</f>
        <v>-5621315.818</v>
      </c>
      <c r="J116" s="80">
        <f>IFERROR(__xludf.DUMMYFUNCTION("""COMPUTED_VALUE"""),-4029674.8181818184)</f>
        <v>-4029674.818</v>
      </c>
      <c r="K116" s="80">
        <f>IFERROR(__xludf.DUMMYFUNCTION("""COMPUTED_VALUE"""),0.0)</f>
        <v>0</v>
      </c>
      <c r="L116" s="80">
        <f>IFERROR(__xludf.DUMMYFUNCTION("""COMPUTED_VALUE"""),0.0)</f>
        <v>0</v>
      </c>
      <c r="M116" s="80">
        <f>IFERROR(__xludf.DUMMYFUNCTION("""COMPUTED_VALUE"""),0.0)</f>
        <v>0</v>
      </c>
      <c r="N116" s="80">
        <f>IFERROR(__xludf.DUMMYFUNCTION("""COMPUTED_VALUE"""),0.0)</f>
        <v>0</v>
      </c>
      <c r="O116" s="80">
        <f>IFERROR(__xludf.DUMMYFUNCTION("""COMPUTED_VALUE"""),-2.4068943E7)</f>
        <v>-24068943</v>
      </c>
      <c r="P116" s="22">
        <f>IFERROR(__xludf.DUMMYFUNCTION("""COMPUTED_VALUE"""),-0.5577114031641074)</f>
        <v>-0.5577114032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IFERROR(__xludf.DUMMYFUNCTION("""COMPUTED_VALUE"""),1.4537980636363637E7)</f>
        <v>14537980.64</v>
      </c>
      <c r="C117" s="24">
        <f>IFERROR(__xludf.DUMMYFUNCTION("""COMPUTED_VALUE"""),-1924713.8181818184)</f>
        <v>-1924713.818</v>
      </c>
      <c r="D117" s="24">
        <f>IFERROR(__xludf.DUMMYFUNCTION("""COMPUTED_VALUE"""),-1.0622148636363637E7)</f>
        <v>-10622148.64</v>
      </c>
      <c r="E117" s="24">
        <f>IFERROR(__xludf.DUMMYFUNCTION("""COMPUTED_VALUE"""),-6659480.0)</f>
        <v>-6659480</v>
      </c>
      <c r="F117" s="24">
        <f>IFERROR(__xludf.DUMMYFUNCTION("""COMPUTED_VALUE"""),-4073622.090909091)</f>
        <v>-4073622.091</v>
      </c>
      <c r="G117" s="24">
        <f>IFERROR(__xludf.DUMMYFUNCTION("""COMPUTED_VALUE"""),-5675968.454545455)</f>
        <v>-5675968.455</v>
      </c>
      <c r="H117" s="66"/>
      <c r="I117" s="24">
        <f>IFERROR(__xludf.DUMMYFUNCTION("""COMPUTED_VALUE"""),-5621315.818181818)</f>
        <v>-5621315.818</v>
      </c>
      <c r="J117" s="24">
        <f>IFERROR(__xludf.DUMMYFUNCTION("""COMPUTED_VALUE"""),-4029674.8181818184)</f>
        <v>-4029674.818</v>
      </c>
      <c r="K117" s="24">
        <f>IFERROR(__xludf.DUMMYFUNCTION("""COMPUTED_VALUE"""),0.0)</f>
        <v>0</v>
      </c>
      <c r="L117" s="24">
        <f>IFERROR(__xludf.DUMMYFUNCTION("""COMPUTED_VALUE"""),0.0)</f>
        <v>0</v>
      </c>
      <c r="M117" s="24">
        <f>IFERROR(__xludf.DUMMYFUNCTION("""COMPUTED_VALUE"""),0.0)</f>
        <v>0</v>
      </c>
      <c r="N117" s="24">
        <f>IFERROR(__xludf.DUMMYFUNCTION("""COMPUTED_VALUE"""),0.0)</f>
        <v>0</v>
      </c>
      <c r="O117" s="66">
        <f>IFERROR(__xludf.DUMMYFUNCTION("""COMPUTED_VALUE"""),-2.4068943E7)</f>
        <v>-24068943</v>
      </c>
      <c r="P117" s="60">
        <f>IFERROR(__xludf.DUMMYFUNCTION("""COMPUTED_VALUE"""),-0.5577114031641074)</f>
        <v>-0.5577114032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83"/>
      <c r="C118" s="83"/>
      <c r="D118" s="83"/>
      <c r="E118" s="83"/>
      <c r="F118" s="83"/>
      <c r="G118" s="83"/>
      <c r="H118" s="84"/>
      <c r="I118" s="83"/>
      <c r="J118" s="83"/>
      <c r="K118" s="83"/>
      <c r="L118" s="83"/>
      <c r="M118" s="83"/>
      <c r="N118" s="83"/>
      <c r="O118" s="85"/>
      <c r="P118" s="60"/>
      <c r="Q118" s="60"/>
    </row>
    <row r="119" ht="15.75" customHeight="1">
      <c r="A119" s="57" t="str">
        <f>IFERROR(__xludf.DUMMYFUNCTION("""COMPUTED_VALUE"""),"配布割合")</f>
        <v>配布割合</v>
      </c>
      <c r="B119" s="86"/>
      <c r="C119" s="86"/>
      <c r="D119" s="86"/>
      <c r="E119" s="86"/>
      <c r="F119" s="86"/>
      <c r="G119" s="86"/>
      <c r="H119" s="85"/>
      <c r="I119" s="86"/>
      <c r="J119" s="86"/>
      <c r="K119" s="86"/>
      <c r="L119" s="86"/>
      <c r="M119" s="86"/>
      <c r="N119" s="86"/>
      <c r="O119" s="86"/>
      <c r="P119" s="60"/>
      <c r="Q119" s="60"/>
    </row>
    <row r="120" ht="15.75" customHeight="1">
      <c r="A120" s="57" t="str">
        <f>IFERROR(__xludf.DUMMYFUNCTION("""COMPUTED_VALUE"""),"配布額")</f>
        <v>配布額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5"/>
      <c r="P120" s="60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IFERROR(__xludf.DUMMYFUNCTION("""COMPUTED_VALUE"""),8479731.0)</f>
        <v>8479731</v>
      </c>
      <c r="C122" s="46">
        <f>IFERROR(__xludf.DUMMYFUNCTION("""COMPUTED_VALUE"""),1206108.0)</f>
        <v>1206108</v>
      </c>
      <c r="D122" s="46">
        <f>IFERROR(__xludf.DUMMYFUNCTION("""COMPUTED_VALUE"""),3785918.0)</f>
        <v>3785918</v>
      </c>
      <c r="E122" s="46">
        <f>IFERROR(__xludf.DUMMYFUNCTION("""COMPUTED_VALUE"""),4209766.0)</f>
        <v>4209766</v>
      </c>
      <c r="F122" s="46">
        <f>IFERROR(__xludf.DUMMYFUNCTION("""COMPUTED_VALUE"""),1615965.0)</f>
        <v>1615965</v>
      </c>
      <c r="G122" s="46">
        <f>IFERROR(__xludf.DUMMYFUNCTION("""COMPUTED_VALUE"""),7530042.0)</f>
        <v>7530042</v>
      </c>
      <c r="H122" s="24"/>
      <c r="I122" s="46">
        <f>IFERROR(__xludf.DUMMYFUNCTION("""COMPUTED_VALUE"""),2344520.0)</f>
        <v>2344520</v>
      </c>
      <c r="J122" s="46">
        <f>IFERROR(__xludf.DUMMYFUNCTION("""COMPUTED_VALUE"""),2029326.0)</f>
        <v>2029326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  <pageSetUpPr fitToPage="1"/>
  </sheetPr>
  <sheetViews>
    <sheetView workbookViewId="0"/>
  </sheetViews>
  <sheetFormatPr customHeight="1" defaultColWidth="12.63" defaultRowHeight="15.0"/>
  <cols>
    <col customWidth="1" min="1" max="1" width="19.38"/>
    <col customWidth="1" min="2" max="7" width="10.13"/>
    <col customWidth="1" min="8" max="8" width="4.75"/>
    <col customWidth="1" min="9" max="14" width="10.13"/>
    <col customWidth="1" min="15" max="15" width="12.25"/>
    <col customWidth="1" min="16" max="16" width="6.13"/>
    <col customWidth="1" min="17" max="17" width="14.38"/>
  </cols>
  <sheetData>
    <row r="1" ht="21.0" customHeight="1">
      <c r="A1" s="74" t="str">
        <f>IFERROR(__xludf.DUMMYFUNCTION("IMPORTRANGE(""https://docs.google.com/spreadsheets/d/1SlHuJEDBJ4Gy3WXeRPN-U9OYonTEM2Yhh4rIuiFr5bQ/edit#gid=256474166"",""経営!A:S"")"),"2022年度")</f>
        <v>2022年度</v>
      </c>
      <c r="B1" s="38">
        <f>IFERROR(__xludf.DUMMYFUNCTION("""COMPUTED_VALUE"""),9.0)</f>
        <v>9</v>
      </c>
      <c r="C1" s="39"/>
      <c r="D1" s="40"/>
      <c r="E1" s="40"/>
      <c r="F1" s="40"/>
      <c r="G1" s="40"/>
      <c r="H1" s="5"/>
      <c r="I1" s="40"/>
      <c r="J1" s="40"/>
      <c r="K1" s="40"/>
      <c r="L1" s="40"/>
      <c r="M1" s="40"/>
      <c r="N1" s="40"/>
      <c r="O1" s="40"/>
      <c r="P1" s="40"/>
      <c r="Q1" s="5"/>
    </row>
    <row r="2" ht="20.25" customHeight="1">
      <c r="A2" s="37" t="str">
        <f>IFERROR(__xludf.DUMMYFUNCTION("""COMPUTED_VALUE"""),"経営投資")</f>
        <v>経営投資</v>
      </c>
      <c r="B2" s="41">
        <f>IFERROR(__xludf.DUMMYFUNCTION("""COMPUTED_VALUE"""),4.0)</f>
        <v>4</v>
      </c>
      <c r="C2" s="41">
        <f>IFERROR(__xludf.DUMMYFUNCTION("""COMPUTED_VALUE"""),5.0)</f>
        <v>5</v>
      </c>
      <c r="D2" s="41">
        <f>IFERROR(__xludf.DUMMYFUNCTION("""COMPUTED_VALUE"""),6.0)</f>
        <v>6</v>
      </c>
      <c r="E2" s="41">
        <f>IFERROR(__xludf.DUMMYFUNCTION("""COMPUTED_VALUE"""),7.0)</f>
        <v>7</v>
      </c>
      <c r="F2" s="41">
        <f>IFERROR(__xludf.DUMMYFUNCTION("""COMPUTED_VALUE"""),8.0)</f>
        <v>8</v>
      </c>
      <c r="G2" s="41">
        <f>IFERROR(__xludf.DUMMYFUNCTION("""COMPUTED_VALUE"""),9.0)</f>
        <v>9</v>
      </c>
      <c r="H2" s="3"/>
      <c r="I2" s="41">
        <f>IFERROR(__xludf.DUMMYFUNCTION("""COMPUTED_VALUE"""),10.0)</f>
        <v>10</v>
      </c>
      <c r="J2" s="41">
        <f>IFERROR(__xludf.DUMMYFUNCTION("""COMPUTED_VALUE"""),11.0)</f>
        <v>11</v>
      </c>
      <c r="K2" s="41">
        <f>IFERROR(__xludf.DUMMYFUNCTION("""COMPUTED_VALUE"""),12.0)</f>
        <v>12</v>
      </c>
      <c r="L2" s="41">
        <f>IFERROR(__xludf.DUMMYFUNCTION("""COMPUTED_VALUE"""),1.0)</f>
        <v>1</v>
      </c>
      <c r="M2" s="41">
        <f>IFERROR(__xludf.DUMMYFUNCTION("""COMPUTED_VALUE"""),2.0)</f>
        <v>2</v>
      </c>
      <c r="N2" s="41">
        <f>IFERROR(__xludf.DUMMYFUNCTION("""COMPUTED_VALUE"""),3.0)</f>
        <v>3</v>
      </c>
      <c r="O2" s="41" t="str">
        <f>IFERROR(__xludf.DUMMYFUNCTION("""COMPUTED_VALUE"""),"合計")</f>
        <v>合計</v>
      </c>
      <c r="P2" s="41"/>
      <c r="Q2" s="42"/>
    </row>
    <row r="3" ht="26.25" customHeight="1">
      <c r="A3" s="43" t="str">
        <f>IFERROR(__xludf.DUMMYFUNCTION("""COMPUTED_VALUE"""),"売上")</f>
        <v>売上</v>
      </c>
      <c r="B3" s="44">
        <f>IFERROR(__xludf.DUMMYFUNCTION("""COMPUTED_VALUE"""),1.0209957E7)</f>
        <v>10209957</v>
      </c>
      <c r="C3" s="44">
        <f>IFERROR(__xludf.DUMMYFUNCTION("""COMPUTED_VALUE"""),6874069.0)</f>
        <v>6874069</v>
      </c>
      <c r="D3" s="44">
        <f>IFERROR(__xludf.DUMMYFUNCTION("""COMPUTED_VALUE"""),1.4643962E7)</f>
        <v>14643962</v>
      </c>
      <c r="E3" s="44">
        <f>IFERROR(__xludf.DUMMYFUNCTION("""COMPUTED_VALUE"""),1.0750672E7)</f>
        <v>10750672</v>
      </c>
      <c r="F3" s="44">
        <f>IFERROR(__xludf.DUMMYFUNCTION("""COMPUTED_VALUE"""),9992269.0)</f>
        <v>9992269</v>
      </c>
      <c r="G3" s="44">
        <f>IFERROR(__xludf.DUMMYFUNCTION("""COMPUTED_VALUE"""),1.446154E7)</f>
        <v>14461540</v>
      </c>
      <c r="H3" s="24"/>
      <c r="I3" s="44">
        <f>IFERROR(__xludf.DUMMYFUNCTION("""COMPUTED_VALUE"""),6705404.0)</f>
        <v>6705404</v>
      </c>
      <c r="J3" s="44">
        <f>IFERROR(__xludf.DUMMYFUNCTION("""COMPUTED_VALUE"""),6518162.0)</f>
        <v>6518162</v>
      </c>
      <c r="K3" s="44">
        <f>IFERROR(__xludf.DUMMYFUNCTION("""COMPUTED_VALUE"""),0.0)</f>
        <v>0</v>
      </c>
      <c r="L3" s="44">
        <f>IFERROR(__xludf.DUMMYFUNCTION("""COMPUTED_VALUE"""),0.0)</f>
        <v>0</v>
      </c>
      <c r="M3" s="44">
        <f>IFERROR(__xludf.DUMMYFUNCTION("""COMPUTED_VALUE"""),0.0)</f>
        <v>0</v>
      </c>
      <c r="N3" s="44">
        <f>IFERROR(__xludf.DUMMYFUNCTION("""COMPUTED_VALUE"""),0.0)</f>
        <v>0</v>
      </c>
      <c r="O3" s="44">
        <f>IFERROR(__xludf.DUMMYFUNCTION("""COMPUTED_VALUE"""),8.0156035E7)</f>
        <v>80156035</v>
      </c>
      <c r="P3" s="45">
        <f>IFERROR(__xludf.DUMMYFUNCTION("""COMPUTED_VALUE"""),1.0)</f>
        <v>1</v>
      </c>
      <c r="Q3" s="16"/>
    </row>
    <row r="4" ht="15.0" customHeight="1">
      <c r="A4" s="3" t="str">
        <f>IFERROR(__xludf.DUMMYFUNCTION("""COMPUTED_VALUE"""),"Tutor-PE")</f>
        <v>Tutor-PE</v>
      </c>
      <c r="B4" s="63"/>
      <c r="C4" s="63"/>
      <c r="D4" s="63"/>
      <c r="E4" s="63"/>
      <c r="F4" s="63"/>
      <c r="G4" s="63"/>
      <c r="H4" s="24"/>
      <c r="I4" s="63"/>
      <c r="J4" s="63"/>
      <c r="K4" s="63"/>
      <c r="L4" s="63"/>
      <c r="M4" s="63"/>
      <c r="N4" s="63"/>
      <c r="O4" s="46">
        <f>IFERROR(__xludf.DUMMYFUNCTION("""COMPUTED_VALUE"""),0.0)</f>
        <v>0</v>
      </c>
      <c r="P4" s="47">
        <f>IFERROR(__xludf.DUMMYFUNCTION("""COMPUTED_VALUE"""),0.0)</f>
        <v>0</v>
      </c>
      <c r="Q4" s="16"/>
    </row>
    <row r="5" ht="15.0" customHeight="1">
      <c r="A5" s="3" t="str">
        <f>IFERROR(__xludf.DUMMYFUNCTION("""COMPUTED_VALUE"""),"Global-PE")</f>
        <v>Global-PE</v>
      </c>
      <c r="B5" s="63"/>
      <c r="C5" s="63"/>
      <c r="D5" s="63"/>
      <c r="E5" s="63"/>
      <c r="F5" s="63"/>
      <c r="G5" s="63"/>
      <c r="H5" s="24"/>
      <c r="I5" s="63"/>
      <c r="J5" s="63"/>
      <c r="K5" s="63"/>
      <c r="L5" s="63"/>
      <c r="M5" s="63"/>
      <c r="N5" s="63"/>
      <c r="O5" s="46">
        <f>IFERROR(__xludf.DUMMYFUNCTION("""COMPUTED_VALUE"""),0.0)</f>
        <v>0</v>
      </c>
      <c r="P5" s="47">
        <f>IFERROR(__xludf.DUMMYFUNCTION("""COMPUTED_VALUE"""),0.0)</f>
        <v>0</v>
      </c>
      <c r="Q5" s="16"/>
    </row>
    <row r="6" ht="15.0" customHeight="1">
      <c r="A6" s="3" t="str">
        <f>IFERROR(__xludf.DUMMYFUNCTION("""COMPUTED_VALUE"""),"その他-PE")</f>
        <v>その他-PE</v>
      </c>
      <c r="B6" s="63"/>
      <c r="C6" s="63"/>
      <c r="D6" s="63"/>
      <c r="E6" s="63"/>
      <c r="F6" s="63"/>
      <c r="G6" s="63"/>
      <c r="H6" s="24"/>
      <c r="I6" s="63"/>
      <c r="J6" s="63"/>
      <c r="K6" s="63"/>
      <c r="L6" s="63"/>
      <c r="M6" s="63"/>
      <c r="N6" s="63"/>
      <c r="O6" s="46">
        <f>IFERROR(__xludf.DUMMYFUNCTION("""COMPUTED_VALUE"""),0.0)</f>
        <v>0</v>
      </c>
      <c r="P6" s="47">
        <f>IFERROR(__xludf.DUMMYFUNCTION("""COMPUTED_VALUE"""),0.0)</f>
        <v>0</v>
      </c>
      <c r="Q6" s="16"/>
    </row>
    <row r="7" ht="15.0" customHeight="1">
      <c r="A7" s="3" t="str">
        <f>IFERROR(__xludf.DUMMYFUNCTION("""COMPUTED_VALUE"""),"講師求人")</f>
        <v>講師求人</v>
      </c>
      <c r="B7" s="63"/>
      <c r="C7" s="63"/>
      <c r="D7" s="63"/>
      <c r="E7" s="63"/>
      <c r="F7" s="63"/>
      <c r="G7" s="63"/>
      <c r="H7" s="24"/>
      <c r="I7" s="63"/>
      <c r="J7" s="63"/>
      <c r="K7" s="63"/>
      <c r="L7" s="63"/>
      <c r="M7" s="63"/>
      <c r="N7" s="63"/>
      <c r="O7" s="46">
        <f>IFERROR(__xludf.DUMMYFUNCTION("""COMPUTED_VALUE"""),0.0)</f>
        <v>0</v>
      </c>
      <c r="P7" s="47">
        <f>IFERROR(__xludf.DUMMYFUNCTION("""COMPUTED_VALUE"""),0.0)</f>
        <v>0</v>
      </c>
      <c r="Q7" s="16"/>
    </row>
    <row r="8" ht="15.0" customHeight="1">
      <c r="A8" s="3" t="str">
        <f>IFERROR(__xludf.DUMMYFUNCTION("""COMPUTED_VALUE"""),"放課後支援")</f>
        <v>放課後支援</v>
      </c>
      <c r="B8" s="63"/>
      <c r="C8" s="63"/>
      <c r="D8" s="63"/>
      <c r="E8" s="63"/>
      <c r="F8" s="63"/>
      <c r="G8" s="63"/>
      <c r="H8" s="24"/>
      <c r="I8" s="63"/>
      <c r="J8" s="63"/>
      <c r="K8" s="63"/>
      <c r="L8" s="63"/>
      <c r="M8" s="63"/>
      <c r="N8" s="63"/>
      <c r="O8" s="46">
        <f>IFERROR(__xludf.DUMMYFUNCTION("""COMPUTED_VALUE"""),0.0)</f>
        <v>0</v>
      </c>
      <c r="P8" s="47">
        <f>IFERROR(__xludf.DUMMYFUNCTION("""COMPUTED_VALUE"""),0.0)</f>
        <v>0</v>
      </c>
      <c r="Q8" s="16"/>
    </row>
    <row r="9" ht="15.0" customHeight="1">
      <c r="A9" s="3" t="str">
        <f>IFERROR(__xludf.DUMMYFUNCTION("""COMPUTED_VALUE"""),"採点OS")</f>
        <v>採点OS</v>
      </c>
      <c r="B9" s="63"/>
      <c r="C9" s="63"/>
      <c r="D9" s="63"/>
      <c r="E9" s="63"/>
      <c r="F9" s="63"/>
      <c r="G9" s="63"/>
      <c r="H9" s="24"/>
      <c r="I9" s="63"/>
      <c r="J9" s="63"/>
      <c r="K9" s="63"/>
      <c r="L9" s="63"/>
      <c r="M9" s="63"/>
      <c r="N9" s="63"/>
      <c r="O9" s="46">
        <f>IFERROR(__xludf.DUMMYFUNCTION("""COMPUTED_VALUE"""),0.0)</f>
        <v>0</v>
      </c>
      <c r="P9" s="47">
        <f>IFERROR(__xludf.DUMMYFUNCTION("""COMPUTED_VALUE"""),0.0)</f>
        <v>0</v>
      </c>
      <c r="Q9" s="16"/>
    </row>
    <row r="10" ht="15.0" customHeight="1">
      <c r="A10" s="3" t="str">
        <f>IFERROR(__xludf.DUMMYFUNCTION("""COMPUTED_VALUE"""),"GEC")</f>
        <v>GEC</v>
      </c>
      <c r="B10" s="63"/>
      <c r="C10" s="63"/>
      <c r="D10" s="63"/>
      <c r="E10" s="63"/>
      <c r="F10" s="63"/>
      <c r="G10" s="63"/>
      <c r="H10" s="24"/>
      <c r="I10" s="63"/>
      <c r="J10" s="63"/>
      <c r="K10" s="63"/>
      <c r="L10" s="63"/>
      <c r="M10" s="63"/>
      <c r="N10" s="63"/>
      <c r="O10" s="46">
        <f>IFERROR(__xludf.DUMMYFUNCTION("""COMPUTED_VALUE"""),0.0)</f>
        <v>0</v>
      </c>
      <c r="P10" s="47">
        <f>IFERROR(__xludf.DUMMYFUNCTION("""COMPUTED_VALUE"""),0.0)</f>
        <v>0</v>
      </c>
      <c r="Q10" s="16"/>
    </row>
    <row r="11" ht="15.0" customHeight="1">
      <c r="A11" s="3" t="str">
        <f>IFERROR(__xludf.DUMMYFUNCTION("""COMPUTED_VALUE"""),"未来教育創造")</f>
        <v>未来教育創造</v>
      </c>
      <c r="B11" s="63"/>
      <c r="C11" s="63"/>
      <c r="D11" s="63"/>
      <c r="E11" s="63"/>
      <c r="F11" s="63"/>
      <c r="G11" s="63"/>
      <c r="H11" s="24"/>
      <c r="I11" s="63"/>
      <c r="J11" s="63"/>
      <c r="K11" s="63"/>
      <c r="L11" s="63"/>
      <c r="M11" s="63"/>
      <c r="N11" s="63"/>
      <c r="O11" s="46">
        <f>IFERROR(__xludf.DUMMYFUNCTION("""COMPUTED_VALUE"""),0.0)</f>
        <v>0</v>
      </c>
      <c r="P11" s="47">
        <f>IFERROR(__xludf.DUMMYFUNCTION("""COMPUTED_VALUE"""),0.0)</f>
        <v>0</v>
      </c>
      <c r="Q11" s="16"/>
    </row>
    <row r="12" ht="15.0" customHeight="1">
      <c r="A12" s="3" t="str">
        <f>IFERROR(__xludf.DUMMYFUNCTION("""COMPUTED_VALUE"""),"経営投資")</f>
        <v>経営投資</v>
      </c>
      <c r="B12" s="75">
        <f>IFERROR(__xludf.DUMMYFUNCTION("""COMPUTED_VALUE"""),1.0209957E7)</f>
        <v>10209957</v>
      </c>
      <c r="C12" s="62">
        <f>IFERROR(__xludf.DUMMYFUNCTION("""COMPUTED_VALUE"""),6874069.0)</f>
        <v>6874069</v>
      </c>
      <c r="D12" s="62">
        <f>IFERROR(__xludf.DUMMYFUNCTION("""COMPUTED_VALUE"""),1.4643962E7)</f>
        <v>14643962</v>
      </c>
      <c r="E12" s="62">
        <f>IFERROR(__xludf.DUMMYFUNCTION("""COMPUTED_VALUE"""),1.0750672E7)</f>
        <v>10750672</v>
      </c>
      <c r="F12" s="62">
        <f>IFERROR(__xludf.DUMMYFUNCTION("""COMPUTED_VALUE"""),9992269.0)</f>
        <v>9992269</v>
      </c>
      <c r="G12" s="62">
        <f>IFERROR(__xludf.DUMMYFUNCTION("""COMPUTED_VALUE"""),1.446154E7)</f>
        <v>14461540</v>
      </c>
      <c r="H12" s="24"/>
      <c r="I12" s="62">
        <f>IFERROR(__xludf.DUMMYFUNCTION("""COMPUTED_VALUE"""),6705404.0)</f>
        <v>6705404</v>
      </c>
      <c r="J12" s="62">
        <f>IFERROR(__xludf.DUMMYFUNCTION("""COMPUTED_VALUE"""),6518162.0)</f>
        <v>6518162</v>
      </c>
      <c r="K12" s="62"/>
      <c r="L12" s="62"/>
      <c r="M12" s="62"/>
      <c r="N12" s="62"/>
      <c r="O12" s="46">
        <f>IFERROR(__xludf.DUMMYFUNCTION("""COMPUTED_VALUE"""),8.0156035E7)</f>
        <v>80156035</v>
      </c>
      <c r="P12" s="47">
        <f>IFERROR(__xludf.DUMMYFUNCTION("""COMPUTED_VALUE"""),1.0)</f>
        <v>1</v>
      </c>
      <c r="Q12" s="16"/>
    </row>
    <row r="13" ht="15.0" customHeight="1">
      <c r="A13" s="3" t="str">
        <f>IFERROR(__xludf.DUMMYFUNCTION("""COMPUTED_VALUE"""),"内部送客")</f>
        <v>内部送客</v>
      </c>
      <c r="B13" s="63"/>
      <c r="C13" s="63"/>
      <c r="D13" s="63"/>
      <c r="E13" s="63"/>
      <c r="F13" s="63"/>
      <c r="G13" s="63"/>
      <c r="H13" s="24"/>
      <c r="I13" s="63"/>
      <c r="J13" s="63"/>
      <c r="K13" s="63"/>
      <c r="L13" s="63"/>
      <c r="M13" s="63"/>
      <c r="N13" s="63"/>
      <c r="O13" s="46">
        <f>IFERROR(__xludf.DUMMYFUNCTION("""COMPUTED_VALUE"""),0.0)</f>
        <v>0</v>
      </c>
      <c r="P13" s="47">
        <f>IFERROR(__xludf.DUMMYFUNCTION("""COMPUTED_VALUE"""),0.0)</f>
        <v>0</v>
      </c>
      <c r="Q13" s="16"/>
    </row>
    <row r="14" ht="15.0" customHeight="1">
      <c r="A14" s="3"/>
      <c r="B14" s="63"/>
      <c r="C14" s="63"/>
      <c r="D14" s="63"/>
      <c r="E14" s="63"/>
      <c r="F14" s="63"/>
      <c r="G14" s="63"/>
      <c r="H14" s="24"/>
      <c r="I14" s="63"/>
      <c r="J14" s="63"/>
      <c r="K14" s="63"/>
      <c r="L14" s="63"/>
      <c r="M14" s="63"/>
      <c r="N14" s="63"/>
      <c r="O14" s="46">
        <f>IFERROR(__xludf.DUMMYFUNCTION("""COMPUTED_VALUE"""),0.0)</f>
        <v>0</v>
      </c>
      <c r="P14" s="47">
        <f>IFERROR(__xludf.DUMMYFUNCTION("""COMPUTED_VALUE"""),0.0)</f>
        <v>0</v>
      </c>
      <c r="Q14" s="16"/>
    </row>
    <row r="15" ht="15.0" customHeight="1">
      <c r="A15" s="3"/>
      <c r="B15" s="63"/>
      <c r="C15" s="63"/>
      <c r="D15" s="63"/>
      <c r="E15" s="63"/>
      <c r="F15" s="63"/>
      <c r="G15" s="63"/>
      <c r="H15" s="24"/>
      <c r="I15" s="63"/>
      <c r="J15" s="63"/>
      <c r="K15" s="63"/>
      <c r="L15" s="63"/>
      <c r="M15" s="63"/>
      <c r="N15" s="63"/>
      <c r="O15" s="46">
        <f>IFERROR(__xludf.DUMMYFUNCTION("""COMPUTED_VALUE"""),0.0)</f>
        <v>0</v>
      </c>
      <c r="P15" s="47">
        <f>IFERROR(__xludf.DUMMYFUNCTION("""COMPUTED_VALUE"""),0.0)</f>
        <v>0</v>
      </c>
      <c r="Q15" s="16"/>
    </row>
    <row r="16" ht="26.25" customHeight="1">
      <c r="A16" s="43" t="str">
        <f>IFERROR(__xludf.DUMMYFUNCTION("""COMPUTED_VALUE"""),"仕入")</f>
        <v>仕入</v>
      </c>
      <c r="B16" s="44">
        <f>IFERROR(__xludf.DUMMYFUNCTION("""COMPUTED_VALUE"""),155382.0)</f>
        <v>155382</v>
      </c>
      <c r="C16" s="44">
        <f>IFERROR(__xludf.DUMMYFUNCTION("""COMPUTED_VALUE"""),1801550.0)</f>
        <v>1801550</v>
      </c>
      <c r="D16" s="44">
        <f>IFERROR(__xludf.DUMMYFUNCTION("""COMPUTED_VALUE"""),3904948.0)</f>
        <v>3904948</v>
      </c>
      <c r="E16" s="44">
        <f>IFERROR(__xludf.DUMMYFUNCTION("""COMPUTED_VALUE"""),2059796.0)</f>
        <v>2059796</v>
      </c>
      <c r="F16" s="44">
        <f>IFERROR(__xludf.DUMMYFUNCTION("""COMPUTED_VALUE"""),1709320.0)</f>
        <v>1709320</v>
      </c>
      <c r="G16" s="44">
        <f>IFERROR(__xludf.DUMMYFUNCTION("""COMPUTED_VALUE"""),2918893.0)</f>
        <v>2918893</v>
      </c>
      <c r="H16" s="24"/>
      <c r="I16" s="44">
        <f>IFERROR(__xludf.DUMMYFUNCTION("""COMPUTED_VALUE"""),3253195.0)</f>
        <v>3253195</v>
      </c>
      <c r="J16" s="44">
        <f>IFERROR(__xludf.DUMMYFUNCTION("""COMPUTED_VALUE"""),3916571.0)</f>
        <v>3916571</v>
      </c>
      <c r="K16" s="44">
        <f>IFERROR(__xludf.DUMMYFUNCTION("""COMPUTED_VALUE"""),0.0)</f>
        <v>0</v>
      </c>
      <c r="L16" s="44">
        <f>IFERROR(__xludf.DUMMYFUNCTION("""COMPUTED_VALUE"""),0.0)</f>
        <v>0</v>
      </c>
      <c r="M16" s="44">
        <f>IFERROR(__xludf.DUMMYFUNCTION("""COMPUTED_VALUE"""),0.0)</f>
        <v>0</v>
      </c>
      <c r="N16" s="44">
        <f>IFERROR(__xludf.DUMMYFUNCTION("""COMPUTED_VALUE"""),0.0)</f>
        <v>0</v>
      </c>
      <c r="O16" s="44">
        <f>IFERROR(__xludf.DUMMYFUNCTION("""COMPUTED_VALUE"""),1.9719655E7)</f>
        <v>19719655</v>
      </c>
      <c r="P16" s="45">
        <f>IFERROR(__xludf.DUMMYFUNCTION("""COMPUTED_VALUE"""),0.24601584896258902)</f>
        <v>0.246015849</v>
      </c>
      <c r="Q16" s="16"/>
    </row>
    <row r="17" ht="16.5" customHeight="1">
      <c r="A17" s="3" t="str">
        <f>IFERROR(__xludf.DUMMYFUNCTION("""COMPUTED_VALUE"""),"Tutor-PE")</f>
        <v>Tutor-PE</v>
      </c>
      <c r="B17" s="63"/>
      <c r="C17" s="63"/>
      <c r="D17" s="63"/>
      <c r="E17" s="63"/>
      <c r="F17" s="63"/>
      <c r="G17" s="63"/>
      <c r="H17" s="24"/>
      <c r="I17" s="63"/>
      <c r="J17" s="63"/>
      <c r="K17" s="63"/>
      <c r="L17" s="63"/>
      <c r="M17" s="63"/>
      <c r="N17" s="63"/>
      <c r="O17" s="46">
        <f>IFERROR(__xludf.DUMMYFUNCTION("""COMPUTED_VALUE"""),0.0)</f>
        <v>0</v>
      </c>
      <c r="P17" s="47">
        <f>IFERROR(__xludf.DUMMYFUNCTION("""COMPUTED_VALUE"""),0.0)</f>
        <v>0</v>
      </c>
      <c r="Q17" s="16"/>
    </row>
    <row r="18" ht="16.5" customHeight="1">
      <c r="A18" s="3" t="str">
        <f>IFERROR(__xludf.DUMMYFUNCTION("""COMPUTED_VALUE"""),"Global-PE")</f>
        <v>Global-PE</v>
      </c>
      <c r="B18" s="63"/>
      <c r="C18" s="63"/>
      <c r="D18" s="63"/>
      <c r="E18" s="63"/>
      <c r="F18" s="63"/>
      <c r="G18" s="63"/>
      <c r="H18" s="24"/>
      <c r="I18" s="63"/>
      <c r="J18" s="63"/>
      <c r="K18" s="63"/>
      <c r="L18" s="63"/>
      <c r="M18" s="63"/>
      <c r="N18" s="63"/>
      <c r="O18" s="46">
        <f>IFERROR(__xludf.DUMMYFUNCTION("""COMPUTED_VALUE"""),0.0)</f>
        <v>0</v>
      </c>
      <c r="P18" s="47">
        <f>IFERROR(__xludf.DUMMYFUNCTION("""COMPUTED_VALUE"""),0.0)</f>
        <v>0</v>
      </c>
      <c r="Q18" s="16"/>
    </row>
    <row r="19" ht="16.5" customHeight="1">
      <c r="A19" s="3" t="str">
        <f>IFERROR(__xludf.DUMMYFUNCTION("""COMPUTED_VALUE"""),"その他-PE")</f>
        <v>その他-PE</v>
      </c>
      <c r="B19" s="63"/>
      <c r="C19" s="63"/>
      <c r="D19" s="63"/>
      <c r="E19" s="63"/>
      <c r="F19" s="63"/>
      <c r="G19" s="63"/>
      <c r="H19" s="24"/>
      <c r="I19" s="63"/>
      <c r="J19" s="63"/>
      <c r="K19" s="63"/>
      <c r="L19" s="63"/>
      <c r="M19" s="63"/>
      <c r="N19" s="63"/>
      <c r="O19" s="46">
        <f>IFERROR(__xludf.DUMMYFUNCTION("""COMPUTED_VALUE"""),0.0)</f>
        <v>0</v>
      </c>
      <c r="P19" s="47">
        <f>IFERROR(__xludf.DUMMYFUNCTION("""COMPUTED_VALUE"""),0.0)</f>
        <v>0</v>
      </c>
      <c r="Q19" s="16"/>
    </row>
    <row r="20" ht="16.5" customHeight="1">
      <c r="A20" s="3" t="str">
        <f>IFERROR(__xludf.DUMMYFUNCTION("""COMPUTED_VALUE"""),"講師求人")</f>
        <v>講師求人</v>
      </c>
      <c r="B20" s="63"/>
      <c r="C20" s="63"/>
      <c r="D20" s="63"/>
      <c r="E20" s="63"/>
      <c r="F20" s="63"/>
      <c r="G20" s="63"/>
      <c r="H20" s="24"/>
      <c r="I20" s="63"/>
      <c r="J20" s="63"/>
      <c r="K20" s="63"/>
      <c r="L20" s="63"/>
      <c r="M20" s="63"/>
      <c r="N20" s="63"/>
      <c r="O20" s="46">
        <f>IFERROR(__xludf.DUMMYFUNCTION("""COMPUTED_VALUE"""),0.0)</f>
        <v>0</v>
      </c>
      <c r="P20" s="47">
        <f>IFERROR(__xludf.DUMMYFUNCTION("""COMPUTED_VALUE"""),0.0)</f>
        <v>0</v>
      </c>
      <c r="Q20" s="16"/>
    </row>
    <row r="21" ht="16.5" customHeight="1">
      <c r="A21" s="3" t="str">
        <f>IFERROR(__xludf.DUMMYFUNCTION("""COMPUTED_VALUE"""),"放課後支援")</f>
        <v>放課後支援</v>
      </c>
      <c r="B21" s="63"/>
      <c r="C21" s="63"/>
      <c r="D21" s="63"/>
      <c r="E21" s="63"/>
      <c r="F21" s="63"/>
      <c r="G21" s="63"/>
      <c r="H21" s="24"/>
      <c r="I21" s="63"/>
      <c r="J21" s="63"/>
      <c r="K21" s="63"/>
      <c r="L21" s="63"/>
      <c r="M21" s="63"/>
      <c r="N21" s="63"/>
      <c r="O21" s="46">
        <f>IFERROR(__xludf.DUMMYFUNCTION("""COMPUTED_VALUE"""),0.0)</f>
        <v>0</v>
      </c>
      <c r="P21" s="47">
        <f>IFERROR(__xludf.DUMMYFUNCTION("""COMPUTED_VALUE"""),0.0)</f>
        <v>0</v>
      </c>
      <c r="Q21" s="16"/>
    </row>
    <row r="22" ht="16.5" customHeight="1">
      <c r="A22" s="3" t="str">
        <f>IFERROR(__xludf.DUMMYFUNCTION("""COMPUTED_VALUE"""),"採点OS")</f>
        <v>採点OS</v>
      </c>
      <c r="B22" s="63"/>
      <c r="C22" s="63"/>
      <c r="D22" s="63"/>
      <c r="E22" s="63"/>
      <c r="F22" s="63"/>
      <c r="G22" s="63"/>
      <c r="H22" s="24"/>
      <c r="I22" s="63"/>
      <c r="J22" s="63"/>
      <c r="K22" s="63"/>
      <c r="L22" s="63"/>
      <c r="M22" s="63"/>
      <c r="N22" s="63"/>
      <c r="O22" s="46">
        <f>IFERROR(__xludf.DUMMYFUNCTION("""COMPUTED_VALUE"""),0.0)</f>
        <v>0</v>
      </c>
      <c r="P22" s="47">
        <f>IFERROR(__xludf.DUMMYFUNCTION("""COMPUTED_VALUE"""),0.0)</f>
        <v>0</v>
      </c>
      <c r="Q22" s="16"/>
    </row>
    <row r="23" ht="16.5" customHeight="1">
      <c r="A23" s="3" t="str">
        <f>IFERROR(__xludf.DUMMYFUNCTION("""COMPUTED_VALUE"""),"GEC")</f>
        <v>GEC</v>
      </c>
      <c r="B23" s="63"/>
      <c r="C23" s="63"/>
      <c r="D23" s="63"/>
      <c r="E23" s="63"/>
      <c r="F23" s="63"/>
      <c r="G23" s="63"/>
      <c r="H23" s="24"/>
      <c r="I23" s="63"/>
      <c r="J23" s="63"/>
      <c r="K23" s="63"/>
      <c r="L23" s="63"/>
      <c r="M23" s="63"/>
      <c r="N23" s="63"/>
      <c r="O23" s="46">
        <f>IFERROR(__xludf.DUMMYFUNCTION("""COMPUTED_VALUE"""),0.0)</f>
        <v>0</v>
      </c>
      <c r="P23" s="47">
        <f>IFERROR(__xludf.DUMMYFUNCTION("""COMPUTED_VALUE"""),0.0)</f>
        <v>0</v>
      </c>
      <c r="Q23" s="16"/>
    </row>
    <row r="24" ht="16.5" customHeight="1">
      <c r="A24" s="3" t="str">
        <f>IFERROR(__xludf.DUMMYFUNCTION("""COMPUTED_VALUE"""),"未来教育創造")</f>
        <v>未来教育創造</v>
      </c>
      <c r="B24" s="63"/>
      <c r="C24" s="63"/>
      <c r="D24" s="63"/>
      <c r="E24" s="63"/>
      <c r="F24" s="63"/>
      <c r="G24" s="63"/>
      <c r="H24" s="24"/>
      <c r="I24" s="63"/>
      <c r="J24" s="63"/>
      <c r="K24" s="63"/>
      <c r="L24" s="63"/>
      <c r="M24" s="63"/>
      <c r="N24" s="63"/>
      <c r="O24" s="46">
        <f>IFERROR(__xludf.DUMMYFUNCTION("""COMPUTED_VALUE"""),0.0)</f>
        <v>0</v>
      </c>
      <c r="P24" s="47">
        <f>IFERROR(__xludf.DUMMYFUNCTION("""COMPUTED_VALUE"""),0.0)</f>
        <v>0</v>
      </c>
      <c r="Q24" s="16"/>
    </row>
    <row r="25" ht="16.5" customHeight="1">
      <c r="A25" s="3" t="str">
        <f>IFERROR(__xludf.DUMMYFUNCTION("""COMPUTED_VALUE"""),"経営投資")</f>
        <v>経営投資</v>
      </c>
      <c r="B25" s="62">
        <f>IFERROR(__xludf.DUMMYFUNCTION("""COMPUTED_VALUE"""),155382.0)</f>
        <v>155382</v>
      </c>
      <c r="C25" s="62">
        <f>IFERROR(__xludf.DUMMYFUNCTION("""COMPUTED_VALUE"""),1801550.0)</f>
        <v>1801550</v>
      </c>
      <c r="D25" s="62">
        <f>IFERROR(__xludf.DUMMYFUNCTION("""COMPUTED_VALUE"""),3904948.0)</f>
        <v>3904948</v>
      </c>
      <c r="E25" s="62">
        <f>IFERROR(__xludf.DUMMYFUNCTION("""COMPUTED_VALUE"""),2059796.0)</f>
        <v>2059796</v>
      </c>
      <c r="F25" s="62">
        <f>IFERROR(__xludf.DUMMYFUNCTION("""COMPUTED_VALUE"""),1709320.0)</f>
        <v>1709320</v>
      </c>
      <c r="G25" s="62">
        <f>IFERROR(__xludf.DUMMYFUNCTION("""COMPUTED_VALUE"""),2918893.0)</f>
        <v>2918893</v>
      </c>
      <c r="H25" s="24"/>
      <c r="I25" s="62">
        <f>IFERROR(__xludf.DUMMYFUNCTION("""COMPUTED_VALUE"""),3253195.0)</f>
        <v>3253195</v>
      </c>
      <c r="J25" s="62">
        <f>IFERROR(__xludf.DUMMYFUNCTION("""COMPUTED_VALUE"""),3916571.0)</f>
        <v>3916571</v>
      </c>
      <c r="K25" s="62"/>
      <c r="L25" s="62"/>
      <c r="M25" s="62"/>
      <c r="N25" s="62"/>
      <c r="O25" s="46">
        <f>IFERROR(__xludf.DUMMYFUNCTION("""COMPUTED_VALUE"""),1.9719655E7)</f>
        <v>19719655</v>
      </c>
      <c r="P25" s="47">
        <f>IFERROR(__xludf.DUMMYFUNCTION("""COMPUTED_VALUE"""),1.0)</f>
        <v>1</v>
      </c>
      <c r="Q25" s="16"/>
    </row>
    <row r="26" ht="16.5" customHeight="1">
      <c r="A26" s="3"/>
      <c r="B26" s="63"/>
      <c r="C26" s="63"/>
      <c r="D26" s="63"/>
      <c r="E26" s="63"/>
      <c r="F26" s="63"/>
      <c r="G26" s="63"/>
      <c r="H26" s="24"/>
      <c r="I26" s="63"/>
      <c r="J26" s="63"/>
      <c r="K26" s="63"/>
      <c r="L26" s="63"/>
      <c r="M26" s="63"/>
      <c r="N26" s="63"/>
      <c r="O26" s="46">
        <f>IFERROR(__xludf.DUMMYFUNCTION("""COMPUTED_VALUE"""),0.0)</f>
        <v>0</v>
      </c>
      <c r="P26" s="47">
        <f>IFERROR(__xludf.DUMMYFUNCTION("""COMPUTED_VALUE"""),0.0)</f>
        <v>0</v>
      </c>
      <c r="Q26" s="16"/>
    </row>
    <row r="27" ht="16.5" customHeight="1">
      <c r="A27" s="3"/>
      <c r="B27" s="63"/>
      <c r="C27" s="63"/>
      <c r="D27" s="63"/>
      <c r="E27" s="63"/>
      <c r="F27" s="63"/>
      <c r="G27" s="63"/>
      <c r="H27" s="24"/>
      <c r="I27" s="63"/>
      <c r="J27" s="63"/>
      <c r="K27" s="63"/>
      <c r="L27" s="63"/>
      <c r="M27" s="63"/>
      <c r="N27" s="63"/>
      <c r="O27" s="46">
        <f>IFERROR(__xludf.DUMMYFUNCTION("""COMPUTED_VALUE"""),0.0)</f>
        <v>0</v>
      </c>
      <c r="P27" s="47">
        <f>IFERROR(__xludf.DUMMYFUNCTION("""COMPUTED_VALUE"""),0.0)</f>
        <v>0</v>
      </c>
      <c r="Q27" s="16"/>
    </row>
    <row r="28" ht="16.5" customHeight="1">
      <c r="A28" s="3"/>
      <c r="B28" s="63"/>
      <c r="C28" s="63"/>
      <c r="D28" s="63"/>
      <c r="E28" s="63"/>
      <c r="F28" s="63"/>
      <c r="G28" s="63"/>
      <c r="H28" s="24"/>
      <c r="I28" s="63"/>
      <c r="J28" s="63"/>
      <c r="K28" s="63"/>
      <c r="L28" s="63"/>
      <c r="M28" s="63"/>
      <c r="N28" s="63"/>
      <c r="O28" s="46">
        <f>IFERROR(__xludf.DUMMYFUNCTION("""COMPUTED_VALUE"""),0.0)</f>
        <v>0</v>
      </c>
      <c r="P28" s="47">
        <f>IFERROR(__xludf.DUMMYFUNCTION("""COMPUTED_VALUE"""),0.0)</f>
        <v>0</v>
      </c>
      <c r="Q28" s="16"/>
    </row>
    <row r="29" ht="26.25" customHeight="1">
      <c r="A29" s="43" t="str">
        <f>IFERROR(__xludf.DUMMYFUNCTION("""COMPUTED_VALUE"""),"売上総利益")</f>
        <v>売上総利益</v>
      </c>
      <c r="B29" s="44">
        <f>IFERROR(__xludf.DUMMYFUNCTION("""COMPUTED_VALUE"""),1.0054575E7)</f>
        <v>10054575</v>
      </c>
      <c r="C29" s="44">
        <f>IFERROR(__xludf.DUMMYFUNCTION("""COMPUTED_VALUE"""),5072519.0)</f>
        <v>5072519</v>
      </c>
      <c r="D29" s="44">
        <f>IFERROR(__xludf.DUMMYFUNCTION("""COMPUTED_VALUE"""),1.0739014E7)</f>
        <v>10739014</v>
      </c>
      <c r="E29" s="44">
        <f>IFERROR(__xludf.DUMMYFUNCTION("""COMPUTED_VALUE"""),8690876.0)</f>
        <v>8690876</v>
      </c>
      <c r="F29" s="44">
        <f>IFERROR(__xludf.DUMMYFUNCTION("""COMPUTED_VALUE"""),8282949.0)</f>
        <v>8282949</v>
      </c>
      <c r="G29" s="44">
        <f>IFERROR(__xludf.DUMMYFUNCTION("""COMPUTED_VALUE"""),1.1542647E7)</f>
        <v>11542647</v>
      </c>
      <c r="H29" s="24"/>
      <c r="I29" s="44">
        <f>IFERROR(__xludf.DUMMYFUNCTION("""COMPUTED_VALUE"""),3452209.0)</f>
        <v>3452209</v>
      </c>
      <c r="J29" s="44">
        <f>IFERROR(__xludf.DUMMYFUNCTION("""COMPUTED_VALUE"""),2601591.0)</f>
        <v>2601591</v>
      </c>
      <c r="K29" s="44">
        <f>IFERROR(__xludf.DUMMYFUNCTION("""COMPUTED_VALUE"""),0.0)</f>
        <v>0</v>
      </c>
      <c r="L29" s="44">
        <f>IFERROR(__xludf.DUMMYFUNCTION("""COMPUTED_VALUE"""),0.0)</f>
        <v>0</v>
      </c>
      <c r="M29" s="44">
        <f>IFERROR(__xludf.DUMMYFUNCTION("""COMPUTED_VALUE"""),0.0)</f>
        <v>0</v>
      </c>
      <c r="N29" s="44">
        <f>IFERROR(__xludf.DUMMYFUNCTION("""COMPUTED_VALUE"""),0.0)</f>
        <v>0</v>
      </c>
      <c r="O29" s="44">
        <f>IFERROR(__xludf.DUMMYFUNCTION("""COMPUTED_VALUE"""),6.043638E7)</f>
        <v>60436380</v>
      </c>
      <c r="P29" s="45">
        <f>IFERROR(__xludf.DUMMYFUNCTION("""COMPUTED_VALUE"""),0.753984151037411)</f>
        <v>0.753984151</v>
      </c>
      <c r="Q29" s="16"/>
    </row>
    <row r="30" ht="15.75" customHeight="1">
      <c r="A30" s="3" t="str">
        <f>IFERROR(__xludf.DUMMYFUNCTION("""COMPUTED_VALUE"""),"Tutor-PE")</f>
        <v>Tutor-PE</v>
      </c>
      <c r="B30" s="65" t="str">
        <f>IFERROR(__xludf.DUMMYFUNCTION("""COMPUTED_VALUE"""),"")</f>
        <v/>
      </c>
      <c r="C30" s="65" t="str">
        <f>IFERROR(__xludf.DUMMYFUNCTION("""COMPUTED_VALUE"""),"")</f>
        <v/>
      </c>
      <c r="D30" s="65" t="str">
        <f>IFERROR(__xludf.DUMMYFUNCTION("""COMPUTED_VALUE"""),"")</f>
        <v/>
      </c>
      <c r="E30" s="65" t="str">
        <f>IFERROR(__xludf.DUMMYFUNCTION("""COMPUTED_VALUE"""),"")</f>
        <v/>
      </c>
      <c r="F30" s="65" t="str">
        <f>IFERROR(__xludf.DUMMYFUNCTION("""COMPUTED_VALUE"""),"")</f>
        <v/>
      </c>
      <c r="G30" s="65" t="str">
        <f>IFERROR(__xludf.DUMMYFUNCTION("""COMPUTED_VALUE"""),"")</f>
        <v/>
      </c>
      <c r="H30" s="24"/>
      <c r="I30" s="65" t="str">
        <f>IFERROR(__xludf.DUMMYFUNCTION("""COMPUTED_VALUE"""),"")</f>
        <v/>
      </c>
      <c r="J30" s="65" t="str">
        <f>IFERROR(__xludf.DUMMYFUNCTION("""COMPUTED_VALUE"""),"")</f>
        <v/>
      </c>
      <c r="K30" s="65" t="str">
        <f>IFERROR(__xludf.DUMMYFUNCTION("""COMPUTED_VALUE"""),"")</f>
        <v/>
      </c>
      <c r="L30" s="65" t="str">
        <f>IFERROR(__xludf.DUMMYFUNCTION("""COMPUTED_VALUE"""),"")</f>
        <v/>
      </c>
      <c r="M30" s="65" t="str">
        <f>IFERROR(__xludf.DUMMYFUNCTION("""COMPUTED_VALUE"""),"")</f>
        <v/>
      </c>
      <c r="N30" s="65" t="str">
        <f>IFERROR(__xludf.DUMMYFUNCTION("""COMPUTED_VALUE"""),"")</f>
        <v/>
      </c>
      <c r="O30" s="46">
        <f>IFERROR(__xludf.DUMMYFUNCTION("""COMPUTED_VALUE"""),0.0)</f>
        <v>0</v>
      </c>
      <c r="P30" s="47">
        <f>IFERROR(__xludf.DUMMYFUNCTION("""COMPUTED_VALUE"""),0.0)</f>
        <v>0</v>
      </c>
      <c r="Q30" s="16"/>
    </row>
    <row r="31" ht="15.75" customHeight="1">
      <c r="A31" s="3" t="str">
        <f>IFERROR(__xludf.DUMMYFUNCTION("""COMPUTED_VALUE"""),"Global-PE")</f>
        <v>Global-PE</v>
      </c>
      <c r="B31" s="65" t="str">
        <f>IFERROR(__xludf.DUMMYFUNCTION("""COMPUTED_VALUE"""),"")</f>
        <v/>
      </c>
      <c r="C31" s="65" t="str">
        <f>IFERROR(__xludf.DUMMYFUNCTION("""COMPUTED_VALUE"""),"")</f>
        <v/>
      </c>
      <c r="D31" s="65" t="str">
        <f>IFERROR(__xludf.DUMMYFUNCTION("""COMPUTED_VALUE"""),"")</f>
        <v/>
      </c>
      <c r="E31" s="65" t="str">
        <f>IFERROR(__xludf.DUMMYFUNCTION("""COMPUTED_VALUE"""),"")</f>
        <v/>
      </c>
      <c r="F31" s="65" t="str">
        <f>IFERROR(__xludf.DUMMYFUNCTION("""COMPUTED_VALUE"""),"")</f>
        <v/>
      </c>
      <c r="G31" s="65" t="str">
        <f>IFERROR(__xludf.DUMMYFUNCTION("""COMPUTED_VALUE"""),"")</f>
        <v/>
      </c>
      <c r="H31" s="24"/>
      <c r="I31" s="65" t="str">
        <f>IFERROR(__xludf.DUMMYFUNCTION("""COMPUTED_VALUE"""),"")</f>
        <v/>
      </c>
      <c r="J31" s="65" t="str">
        <f>IFERROR(__xludf.DUMMYFUNCTION("""COMPUTED_VALUE"""),"")</f>
        <v/>
      </c>
      <c r="K31" s="65" t="str">
        <f>IFERROR(__xludf.DUMMYFUNCTION("""COMPUTED_VALUE"""),"")</f>
        <v/>
      </c>
      <c r="L31" s="65" t="str">
        <f>IFERROR(__xludf.DUMMYFUNCTION("""COMPUTED_VALUE"""),"")</f>
        <v/>
      </c>
      <c r="M31" s="65" t="str">
        <f>IFERROR(__xludf.DUMMYFUNCTION("""COMPUTED_VALUE"""),"")</f>
        <v/>
      </c>
      <c r="N31" s="65" t="str">
        <f>IFERROR(__xludf.DUMMYFUNCTION("""COMPUTED_VALUE"""),"")</f>
        <v/>
      </c>
      <c r="O31" s="46">
        <f>IFERROR(__xludf.DUMMYFUNCTION("""COMPUTED_VALUE"""),0.0)</f>
        <v>0</v>
      </c>
      <c r="P31" s="47">
        <f>IFERROR(__xludf.DUMMYFUNCTION("""COMPUTED_VALUE"""),0.0)</f>
        <v>0</v>
      </c>
      <c r="Q31" s="16"/>
    </row>
    <row r="32" ht="15.75" customHeight="1">
      <c r="A32" s="3" t="str">
        <f>IFERROR(__xludf.DUMMYFUNCTION("""COMPUTED_VALUE"""),"その他-PE")</f>
        <v>その他-PE</v>
      </c>
      <c r="B32" s="65" t="str">
        <f>IFERROR(__xludf.DUMMYFUNCTION("""COMPUTED_VALUE"""),"")</f>
        <v/>
      </c>
      <c r="C32" s="65" t="str">
        <f>IFERROR(__xludf.DUMMYFUNCTION("""COMPUTED_VALUE"""),"")</f>
        <v/>
      </c>
      <c r="D32" s="65" t="str">
        <f>IFERROR(__xludf.DUMMYFUNCTION("""COMPUTED_VALUE"""),"")</f>
        <v/>
      </c>
      <c r="E32" s="65" t="str">
        <f>IFERROR(__xludf.DUMMYFUNCTION("""COMPUTED_VALUE"""),"")</f>
        <v/>
      </c>
      <c r="F32" s="65" t="str">
        <f>IFERROR(__xludf.DUMMYFUNCTION("""COMPUTED_VALUE"""),"")</f>
        <v/>
      </c>
      <c r="G32" s="65" t="str">
        <f>IFERROR(__xludf.DUMMYFUNCTION("""COMPUTED_VALUE"""),"")</f>
        <v/>
      </c>
      <c r="H32" s="24"/>
      <c r="I32" s="65" t="str">
        <f>IFERROR(__xludf.DUMMYFUNCTION("""COMPUTED_VALUE"""),"")</f>
        <v/>
      </c>
      <c r="J32" s="65" t="str">
        <f>IFERROR(__xludf.DUMMYFUNCTION("""COMPUTED_VALUE"""),"")</f>
        <v/>
      </c>
      <c r="K32" s="65" t="str">
        <f>IFERROR(__xludf.DUMMYFUNCTION("""COMPUTED_VALUE"""),"")</f>
        <v/>
      </c>
      <c r="L32" s="65" t="str">
        <f>IFERROR(__xludf.DUMMYFUNCTION("""COMPUTED_VALUE"""),"")</f>
        <v/>
      </c>
      <c r="M32" s="65" t="str">
        <f>IFERROR(__xludf.DUMMYFUNCTION("""COMPUTED_VALUE"""),"")</f>
        <v/>
      </c>
      <c r="N32" s="65" t="str">
        <f>IFERROR(__xludf.DUMMYFUNCTION("""COMPUTED_VALUE"""),"")</f>
        <v/>
      </c>
      <c r="O32" s="46">
        <f>IFERROR(__xludf.DUMMYFUNCTION("""COMPUTED_VALUE"""),0.0)</f>
        <v>0</v>
      </c>
      <c r="P32" s="47">
        <f>IFERROR(__xludf.DUMMYFUNCTION("""COMPUTED_VALUE"""),0.0)</f>
        <v>0</v>
      </c>
      <c r="Q32" s="16"/>
    </row>
    <row r="33" ht="15.75" customHeight="1">
      <c r="A33" s="3" t="str">
        <f>IFERROR(__xludf.DUMMYFUNCTION("""COMPUTED_VALUE"""),"講師求人")</f>
        <v>講師求人</v>
      </c>
      <c r="B33" s="65" t="str">
        <f>IFERROR(__xludf.DUMMYFUNCTION("""COMPUTED_VALUE"""),"")</f>
        <v/>
      </c>
      <c r="C33" s="65" t="str">
        <f>IFERROR(__xludf.DUMMYFUNCTION("""COMPUTED_VALUE"""),"")</f>
        <v/>
      </c>
      <c r="D33" s="65" t="str">
        <f>IFERROR(__xludf.DUMMYFUNCTION("""COMPUTED_VALUE"""),"")</f>
        <v/>
      </c>
      <c r="E33" s="65" t="str">
        <f>IFERROR(__xludf.DUMMYFUNCTION("""COMPUTED_VALUE"""),"")</f>
        <v/>
      </c>
      <c r="F33" s="65" t="str">
        <f>IFERROR(__xludf.DUMMYFUNCTION("""COMPUTED_VALUE"""),"")</f>
        <v/>
      </c>
      <c r="G33" s="65" t="str">
        <f>IFERROR(__xludf.DUMMYFUNCTION("""COMPUTED_VALUE"""),"")</f>
        <v/>
      </c>
      <c r="H33" s="24"/>
      <c r="I33" s="65" t="str">
        <f>IFERROR(__xludf.DUMMYFUNCTION("""COMPUTED_VALUE"""),"")</f>
        <v/>
      </c>
      <c r="J33" s="65" t="str">
        <f>IFERROR(__xludf.DUMMYFUNCTION("""COMPUTED_VALUE"""),"")</f>
        <v/>
      </c>
      <c r="K33" s="65" t="str">
        <f>IFERROR(__xludf.DUMMYFUNCTION("""COMPUTED_VALUE"""),"")</f>
        <v/>
      </c>
      <c r="L33" s="65" t="str">
        <f>IFERROR(__xludf.DUMMYFUNCTION("""COMPUTED_VALUE"""),"")</f>
        <v/>
      </c>
      <c r="M33" s="65" t="str">
        <f>IFERROR(__xludf.DUMMYFUNCTION("""COMPUTED_VALUE"""),"")</f>
        <v/>
      </c>
      <c r="N33" s="65" t="str">
        <f>IFERROR(__xludf.DUMMYFUNCTION("""COMPUTED_VALUE"""),"")</f>
        <v/>
      </c>
      <c r="O33" s="46">
        <f>IFERROR(__xludf.DUMMYFUNCTION("""COMPUTED_VALUE"""),0.0)</f>
        <v>0</v>
      </c>
      <c r="P33" s="47">
        <f>IFERROR(__xludf.DUMMYFUNCTION("""COMPUTED_VALUE"""),0.0)</f>
        <v>0</v>
      </c>
      <c r="Q33" s="16"/>
    </row>
    <row r="34" ht="15.75" customHeight="1">
      <c r="A34" s="3" t="str">
        <f>IFERROR(__xludf.DUMMYFUNCTION("""COMPUTED_VALUE"""),"放課後支援")</f>
        <v>放課後支援</v>
      </c>
      <c r="B34" s="65" t="str">
        <f>IFERROR(__xludf.DUMMYFUNCTION("""COMPUTED_VALUE"""),"")</f>
        <v/>
      </c>
      <c r="C34" s="65" t="str">
        <f>IFERROR(__xludf.DUMMYFUNCTION("""COMPUTED_VALUE"""),"")</f>
        <v/>
      </c>
      <c r="D34" s="65" t="str">
        <f>IFERROR(__xludf.DUMMYFUNCTION("""COMPUTED_VALUE"""),"")</f>
        <v/>
      </c>
      <c r="E34" s="65" t="str">
        <f>IFERROR(__xludf.DUMMYFUNCTION("""COMPUTED_VALUE"""),"")</f>
        <v/>
      </c>
      <c r="F34" s="65" t="str">
        <f>IFERROR(__xludf.DUMMYFUNCTION("""COMPUTED_VALUE"""),"")</f>
        <v/>
      </c>
      <c r="G34" s="65" t="str">
        <f>IFERROR(__xludf.DUMMYFUNCTION("""COMPUTED_VALUE"""),"")</f>
        <v/>
      </c>
      <c r="H34" s="24"/>
      <c r="I34" s="65" t="str">
        <f>IFERROR(__xludf.DUMMYFUNCTION("""COMPUTED_VALUE"""),"")</f>
        <v/>
      </c>
      <c r="J34" s="65" t="str">
        <f>IFERROR(__xludf.DUMMYFUNCTION("""COMPUTED_VALUE"""),"")</f>
        <v/>
      </c>
      <c r="K34" s="65" t="str">
        <f>IFERROR(__xludf.DUMMYFUNCTION("""COMPUTED_VALUE"""),"")</f>
        <v/>
      </c>
      <c r="L34" s="65" t="str">
        <f>IFERROR(__xludf.DUMMYFUNCTION("""COMPUTED_VALUE"""),"")</f>
        <v/>
      </c>
      <c r="M34" s="65" t="str">
        <f>IFERROR(__xludf.DUMMYFUNCTION("""COMPUTED_VALUE"""),"")</f>
        <v/>
      </c>
      <c r="N34" s="65" t="str">
        <f>IFERROR(__xludf.DUMMYFUNCTION("""COMPUTED_VALUE"""),"")</f>
        <v/>
      </c>
      <c r="O34" s="46">
        <f>IFERROR(__xludf.DUMMYFUNCTION("""COMPUTED_VALUE"""),0.0)</f>
        <v>0</v>
      </c>
      <c r="P34" s="47">
        <f>IFERROR(__xludf.DUMMYFUNCTION("""COMPUTED_VALUE"""),0.0)</f>
        <v>0</v>
      </c>
      <c r="Q34" s="16"/>
    </row>
    <row r="35" ht="15.75" customHeight="1">
      <c r="A35" s="3" t="str">
        <f>IFERROR(__xludf.DUMMYFUNCTION("""COMPUTED_VALUE"""),"採点OS")</f>
        <v>採点OS</v>
      </c>
      <c r="B35" s="65" t="str">
        <f>IFERROR(__xludf.DUMMYFUNCTION("""COMPUTED_VALUE"""),"")</f>
        <v/>
      </c>
      <c r="C35" s="65" t="str">
        <f>IFERROR(__xludf.DUMMYFUNCTION("""COMPUTED_VALUE"""),"")</f>
        <v/>
      </c>
      <c r="D35" s="65" t="str">
        <f>IFERROR(__xludf.DUMMYFUNCTION("""COMPUTED_VALUE"""),"")</f>
        <v/>
      </c>
      <c r="E35" s="65" t="str">
        <f>IFERROR(__xludf.DUMMYFUNCTION("""COMPUTED_VALUE"""),"")</f>
        <v/>
      </c>
      <c r="F35" s="65" t="str">
        <f>IFERROR(__xludf.DUMMYFUNCTION("""COMPUTED_VALUE"""),"")</f>
        <v/>
      </c>
      <c r="G35" s="65" t="str">
        <f>IFERROR(__xludf.DUMMYFUNCTION("""COMPUTED_VALUE"""),"")</f>
        <v/>
      </c>
      <c r="H35" s="24"/>
      <c r="I35" s="65" t="str">
        <f>IFERROR(__xludf.DUMMYFUNCTION("""COMPUTED_VALUE"""),"")</f>
        <v/>
      </c>
      <c r="J35" s="65" t="str">
        <f>IFERROR(__xludf.DUMMYFUNCTION("""COMPUTED_VALUE"""),"")</f>
        <v/>
      </c>
      <c r="K35" s="65" t="str">
        <f>IFERROR(__xludf.DUMMYFUNCTION("""COMPUTED_VALUE"""),"")</f>
        <v/>
      </c>
      <c r="L35" s="65" t="str">
        <f>IFERROR(__xludf.DUMMYFUNCTION("""COMPUTED_VALUE"""),"")</f>
        <v/>
      </c>
      <c r="M35" s="65" t="str">
        <f>IFERROR(__xludf.DUMMYFUNCTION("""COMPUTED_VALUE"""),"")</f>
        <v/>
      </c>
      <c r="N35" s="65" t="str">
        <f>IFERROR(__xludf.DUMMYFUNCTION("""COMPUTED_VALUE"""),"")</f>
        <v/>
      </c>
      <c r="O35" s="46">
        <f>IFERROR(__xludf.DUMMYFUNCTION("""COMPUTED_VALUE"""),0.0)</f>
        <v>0</v>
      </c>
      <c r="P35" s="47">
        <f>IFERROR(__xludf.DUMMYFUNCTION("""COMPUTED_VALUE"""),0.0)</f>
        <v>0</v>
      </c>
      <c r="Q35" s="16"/>
    </row>
    <row r="36" ht="15.75" customHeight="1">
      <c r="A36" s="3" t="str">
        <f>IFERROR(__xludf.DUMMYFUNCTION("""COMPUTED_VALUE"""),"GEC")</f>
        <v>GEC</v>
      </c>
      <c r="B36" s="65" t="str">
        <f>IFERROR(__xludf.DUMMYFUNCTION("""COMPUTED_VALUE"""),"")</f>
        <v/>
      </c>
      <c r="C36" s="65" t="str">
        <f>IFERROR(__xludf.DUMMYFUNCTION("""COMPUTED_VALUE"""),"")</f>
        <v/>
      </c>
      <c r="D36" s="65" t="str">
        <f>IFERROR(__xludf.DUMMYFUNCTION("""COMPUTED_VALUE"""),"")</f>
        <v/>
      </c>
      <c r="E36" s="65" t="str">
        <f>IFERROR(__xludf.DUMMYFUNCTION("""COMPUTED_VALUE"""),"")</f>
        <v/>
      </c>
      <c r="F36" s="65" t="str">
        <f>IFERROR(__xludf.DUMMYFUNCTION("""COMPUTED_VALUE"""),"")</f>
        <v/>
      </c>
      <c r="G36" s="65" t="str">
        <f>IFERROR(__xludf.DUMMYFUNCTION("""COMPUTED_VALUE"""),"")</f>
        <v/>
      </c>
      <c r="H36" s="66"/>
      <c r="I36" s="65" t="str">
        <f>IFERROR(__xludf.DUMMYFUNCTION("""COMPUTED_VALUE"""),"")</f>
        <v/>
      </c>
      <c r="J36" s="65" t="str">
        <f>IFERROR(__xludf.DUMMYFUNCTION("""COMPUTED_VALUE"""),"")</f>
        <v/>
      </c>
      <c r="K36" s="65" t="str">
        <f>IFERROR(__xludf.DUMMYFUNCTION("""COMPUTED_VALUE"""),"")</f>
        <v/>
      </c>
      <c r="L36" s="65" t="str">
        <f>IFERROR(__xludf.DUMMYFUNCTION("""COMPUTED_VALUE"""),"")</f>
        <v/>
      </c>
      <c r="M36" s="65" t="str">
        <f>IFERROR(__xludf.DUMMYFUNCTION("""COMPUTED_VALUE"""),"")</f>
        <v/>
      </c>
      <c r="N36" s="65" t="str">
        <f>IFERROR(__xludf.DUMMYFUNCTION("""COMPUTED_VALUE"""),"")</f>
        <v/>
      </c>
      <c r="O36" s="46">
        <f>IFERROR(__xludf.DUMMYFUNCTION("""COMPUTED_VALUE"""),0.0)</f>
        <v>0</v>
      </c>
      <c r="P36" s="47">
        <f>IFERROR(__xludf.DUMMYFUNCTION("""COMPUTED_VALUE"""),0.0)</f>
        <v>0</v>
      </c>
      <c r="Q36" s="16"/>
    </row>
    <row r="37" ht="15.75" customHeight="1">
      <c r="A37" s="3" t="str">
        <f>IFERROR(__xludf.DUMMYFUNCTION("""COMPUTED_VALUE"""),"未来教育創造")</f>
        <v>未来教育創造</v>
      </c>
      <c r="B37" s="65" t="str">
        <f>IFERROR(__xludf.DUMMYFUNCTION("""COMPUTED_VALUE"""),"")</f>
        <v/>
      </c>
      <c r="C37" s="65" t="str">
        <f>IFERROR(__xludf.DUMMYFUNCTION("""COMPUTED_VALUE"""),"")</f>
        <v/>
      </c>
      <c r="D37" s="65" t="str">
        <f>IFERROR(__xludf.DUMMYFUNCTION("""COMPUTED_VALUE"""),"")</f>
        <v/>
      </c>
      <c r="E37" s="65" t="str">
        <f>IFERROR(__xludf.DUMMYFUNCTION("""COMPUTED_VALUE"""),"")</f>
        <v/>
      </c>
      <c r="F37" s="65" t="str">
        <f>IFERROR(__xludf.DUMMYFUNCTION("""COMPUTED_VALUE"""),"")</f>
        <v/>
      </c>
      <c r="G37" s="65" t="str">
        <f>IFERROR(__xludf.DUMMYFUNCTION("""COMPUTED_VALUE"""),"")</f>
        <v/>
      </c>
      <c r="H37" s="66"/>
      <c r="I37" s="65" t="str">
        <f>IFERROR(__xludf.DUMMYFUNCTION("""COMPUTED_VALUE"""),"")</f>
        <v/>
      </c>
      <c r="J37" s="65" t="str">
        <f>IFERROR(__xludf.DUMMYFUNCTION("""COMPUTED_VALUE"""),"")</f>
        <v/>
      </c>
      <c r="K37" s="65" t="str">
        <f>IFERROR(__xludf.DUMMYFUNCTION("""COMPUTED_VALUE"""),"")</f>
        <v/>
      </c>
      <c r="L37" s="65" t="str">
        <f>IFERROR(__xludf.DUMMYFUNCTION("""COMPUTED_VALUE"""),"")</f>
        <v/>
      </c>
      <c r="M37" s="65" t="str">
        <f>IFERROR(__xludf.DUMMYFUNCTION("""COMPUTED_VALUE"""),"")</f>
        <v/>
      </c>
      <c r="N37" s="65" t="str">
        <f>IFERROR(__xludf.DUMMYFUNCTION("""COMPUTED_VALUE"""),"")</f>
        <v/>
      </c>
      <c r="O37" s="46">
        <f>IFERROR(__xludf.DUMMYFUNCTION("""COMPUTED_VALUE"""),0.0)</f>
        <v>0</v>
      </c>
      <c r="P37" s="47">
        <f>IFERROR(__xludf.DUMMYFUNCTION("""COMPUTED_VALUE"""),0.0)</f>
        <v>0</v>
      </c>
      <c r="Q37" s="16"/>
    </row>
    <row r="38" ht="15.75" customHeight="1">
      <c r="A38" s="3" t="str">
        <f>IFERROR(__xludf.DUMMYFUNCTION("""COMPUTED_VALUE"""),"経営投資")</f>
        <v>経営投資</v>
      </c>
      <c r="B38" s="64">
        <f>IFERROR(__xludf.DUMMYFUNCTION("""COMPUTED_VALUE"""),1.0054575E7)</f>
        <v>10054575</v>
      </c>
      <c r="C38" s="64">
        <f>IFERROR(__xludf.DUMMYFUNCTION("""COMPUTED_VALUE"""),5072519.0)</f>
        <v>5072519</v>
      </c>
      <c r="D38" s="64">
        <f>IFERROR(__xludf.DUMMYFUNCTION("""COMPUTED_VALUE"""),1.0739014E7)</f>
        <v>10739014</v>
      </c>
      <c r="E38" s="64">
        <f>IFERROR(__xludf.DUMMYFUNCTION("""COMPUTED_VALUE"""),8690876.0)</f>
        <v>8690876</v>
      </c>
      <c r="F38" s="64">
        <f>IFERROR(__xludf.DUMMYFUNCTION("""COMPUTED_VALUE"""),8282949.0)</f>
        <v>8282949</v>
      </c>
      <c r="G38" s="64">
        <f>IFERROR(__xludf.DUMMYFUNCTION("""COMPUTED_VALUE"""),1.1542647E7)</f>
        <v>11542647</v>
      </c>
      <c r="H38" s="76"/>
      <c r="I38" s="64">
        <f>IFERROR(__xludf.DUMMYFUNCTION("""COMPUTED_VALUE"""),3452209.0)</f>
        <v>3452209</v>
      </c>
      <c r="J38" s="64">
        <f>IFERROR(__xludf.DUMMYFUNCTION("""COMPUTED_VALUE"""),2601591.0)</f>
        <v>2601591</v>
      </c>
      <c r="K38" s="64" t="str">
        <f>IFERROR(__xludf.DUMMYFUNCTION("""COMPUTED_VALUE"""),"")</f>
        <v/>
      </c>
      <c r="L38" s="64" t="str">
        <f>IFERROR(__xludf.DUMMYFUNCTION("""COMPUTED_VALUE"""),"")</f>
        <v/>
      </c>
      <c r="M38" s="64" t="str">
        <f>IFERROR(__xludf.DUMMYFUNCTION("""COMPUTED_VALUE"""),"")</f>
        <v/>
      </c>
      <c r="N38" s="64" t="str">
        <f>IFERROR(__xludf.DUMMYFUNCTION("""COMPUTED_VALUE"""),"")</f>
        <v/>
      </c>
      <c r="O38" s="46">
        <f>IFERROR(__xludf.DUMMYFUNCTION("""COMPUTED_VALUE"""),6.043638E7)</f>
        <v>60436380</v>
      </c>
      <c r="P38" s="47">
        <f>IFERROR(__xludf.DUMMYFUNCTION("""COMPUTED_VALUE"""),1.0)</f>
        <v>1</v>
      </c>
      <c r="Q38" s="16"/>
    </row>
    <row r="39" ht="15.75" customHeight="1">
      <c r="A39" s="3"/>
      <c r="B39" s="65" t="str">
        <f>IFERROR(__xludf.DUMMYFUNCTION("""COMPUTED_VALUE"""),"")</f>
        <v/>
      </c>
      <c r="C39" s="65" t="str">
        <f>IFERROR(__xludf.DUMMYFUNCTION("""COMPUTED_VALUE"""),"")</f>
        <v/>
      </c>
      <c r="D39" s="65" t="str">
        <f>IFERROR(__xludf.DUMMYFUNCTION("""COMPUTED_VALUE"""),"")</f>
        <v/>
      </c>
      <c r="E39" s="65" t="str">
        <f>IFERROR(__xludf.DUMMYFUNCTION("""COMPUTED_VALUE"""),"")</f>
        <v/>
      </c>
      <c r="F39" s="65" t="str">
        <f>IFERROR(__xludf.DUMMYFUNCTION("""COMPUTED_VALUE"""),"")</f>
        <v/>
      </c>
      <c r="G39" s="65" t="str">
        <f>IFERROR(__xludf.DUMMYFUNCTION("""COMPUTED_VALUE"""),"")</f>
        <v/>
      </c>
      <c r="H39" s="66"/>
      <c r="I39" s="65" t="str">
        <f>IFERROR(__xludf.DUMMYFUNCTION("""COMPUTED_VALUE"""),"")</f>
        <v/>
      </c>
      <c r="J39" s="65" t="str">
        <f>IFERROR(__xludf.DUMMYFUNCTION("""COMPUTED_VALUE"""),"")</f>
        <v/>
      </c>
      <c r="K39" s="65" t="str">
        <f>IFERROR(__xludf.DUMMYFUNCTION("""COMPUTED_VALUE"""),"")</f>
        <v/>
      </c>
      <c r="L39" s="65" t="str">
        <f>IFERROR(__xludf.DUMMYFUNCTION("""COMPUTED_VALUE"""),"")</f>
        <v/>
      </c>
      <c r="M39" s="65" t="str">
        <f>IFERROR(__xludf.DUMMYFUNCTION("""COMPUTED_VALUE"""),"")</f>
        <v/>
      </c>
      <c r="N39" s="65" t="str">
        <f>IFERROR(__xludf.DUMMYFUNCTION("""COMPUTED_VALUE"""),"")</f>
        <v/>
      </c>
      <c r="O39" s="46">
        <f>IFERROR(__xludf.DUMMYFUNCTION("""COMPUTED_VALUE"""),0.0)</f>
        <v>0</v>
      </c>
      <c r="P39" s="47">
        <f>IFERROR(__xludf.DUMMYFUNCTION("""COMPUTED_VALUE"""),0.0)</f>
        <v>0</v>
      </c>
      <c r="Q39" s="16"/>
    </row>
    <row r="40" ht="15.75" customHeight="1">
      <c r="A40" s="3"/>
      <c r="B40" s="65" t="str">
        <f>IFERROR(__xludf.DUMMYFUNCTION("""COMPUTED_VALUE"""),"")</f>
        <v/>
      </c>
      <c r="C40" s="65" t="str">
        <f>IFERROR(__xludf.DUMMYFUNCTION("""COMPUTED_VALUE"""),"")</f>
        <v/>
      </c>
      <c r="D40" s="65" t="str">
        <f>IFERROR(__xludf.DUMMYFUNCTION("""COMPUTED_VALUE"""),"")</f>
        <v/>
      </c>
      <c r="E40" s="65" t="str">
        <f>IFERROR(__xludf.DUMMYFUNCTION("""COMPUTED_VALUE"""),"")</f>
        <v/>
      </c>
      <c r="F40" s="65" t="str">
        <f>IFERROR(__xludf.DUMMYFUNCTION("""COMPUTED_VALUE"""),"")</f>
        <v/>
      </c>
      <c r="G40" s="65" t="str">
        <f>IFERROR(__xludf.DUMMYFUNCTION("""COMPUTED_VALUE"""),"")</f>
        <v/>
      </c>
      <c r="H40" s="66"/>
      <c r="I40" s="65" t="str">
        <f>IFERROR(__xludf.DUMMYFUNCTION("""COMPUTED_VALUE"""),"")</f>
        <v/>
      </c>
      <c r="J40" s="65" t="str">
        <f>IFERROR(__xludf.DUMMYFUNCTION("""COMPUTED_VALUE"""),"")</f>
        <v/>
      </c>
      <c r="K40" s="65" t="str">
        <f>IFERROR(__xludf.DUMMYFUNCTION("""COMPUTED_VALUE"""),"")</f>
        <v/>
      </c>
      <c r="L40" s="65" t="str">
        <f>IFERROR(__xludf.DUMMYFUNCTION("""COMPUTED_VALUE"""),"")</f>
        <v/>
      </c>
      <c r="M40" s="65" t="str">
        <f>IFERROR(__xludf.DUMMYFUNCTION("""COMPUTED_VALUE"""),"")</f>
        <v/>
      </c>
      <c r="N40" s="65" t="str">
        <f>IFERROR(__xludf.DUMMYFUNCTION("""COMPUTED_VALUE"""),"")</f>
        <v/>
      </c>
      <c r="O40" s="46">
        <f>IFERROR(__xludf.DUMMYFUNCTION("""COMPUTED_VALUE"""),0.0)</f>
        <v>0</v>
      </c>
      <c r="P40" s="47">
        <f>IFERROR(__xludf.DUMMYFUNCTION("""COMPUTED_VALUE"""),0.0)</f>
        <v>0</v>
      </c>
      <c r="Q40" s="16"/>
    </row>
    <row r="41" ht="15.75" customHeight="1">
      <c r="A41" s="3"/>
      <c r="B41" s="65" t="str">
        <f>IFERROR(__xludf.DUMMYFUNCTION("""COMPUTED_VALUE"""),"")</f>
        <v/>
      </c>
      <c r="C41" s="65" t="str">
        <f>IFERROR(__xludf.DUMMYFUNCTION("""COMPUTED_VALUE"""),"")</f>
        <v/>
      </c>
      <c r="D41" s="65" t="str">
        <f>IFERROR(__xludf.DUMMYFUNCTION("""COMPUTED_VALUE"""),"")</f>
        <v/>
      </c>
      <c r="E41" s="65" t="str">
        <f>IFERROR(__xludf.DUMMYFUNCTION("""COMPUTED_VALUE"""),"")</f>
        <v/>
      </c>
      <c r="F41" s="65" t="str">
        <f>IFERROR(__xludf.DUMMYFUNCTION("""COMPUTED_VALUE"""),"")</f>
        <v/>
      </c>
      <c r="G41" s="65" t="str">
        <f>IFERROR(__xludf.DUMMYFUNCTION("""COMPUTED_VALUE"""),"")</f>
        <v/>
      </c>
      <c r="H41" s="66"/>
      <c r="I41" s="65" t="str">
        <f>IFERROR(__xludf.DUMMYFUNCTION("""COMPUTED_VALUE"""),"")</f>
        <v/>
      </c>
      <c r="J41" s="65" t="str">
        <f>IFERROR(__xludf.DUMMYFUNCTION("""COMPUTED_VALUE"""),"")</f>
        <v/>
      </c>
      <c r="K41" s="65" t="str">
        <f>IFERROR(__xludf.DUMMYFUNCTION("""COMPUTED_VALUE"""),"")</f>
        <v/>
      </c>
      <c r="L41" s="65" t="str">
        <f>IFERROR(__xludf.DUMMYFUNCTION("""COMPUTED_VALUE"""),"")</f>
        <v/>
      </c>
      <c r="M41" s="65" t="str">
        <f>IFERROR(__xludf.DUMMYFUNCTION("""COMPUTED_VALUE"""),"")</f>
        <v/>
      </c>
      <c r="N41" s="65" t="str">
        <f>IFERROR(__xludf.DUMMYFUNCTION("""COMPUTED_VALUE"""),"")</f>
        <v/>
      </c>
      <c r="O41" s="46">
        <f>IFERROR(__xludf.DUMMYFUNCTION("""COMPUTED_VALUE"""),0.0)</f>
        <v>0</v>
      </c>
      <c r="P41" s="47">
        <f>IFERROR(__xludf.DUMMYFUNCTION("""COMPUTED_VALUE"""),0.0)</f>
        <v>0</v>
      </c>
      <c r="Q41" s="16"/>
    </row>
    <row r="42" ht="20.25" customHeight="1">
      <c r="A42" s="48" t="str">
        <f>IFERROR(__xludf.DUMMYFUNCTION("""COMPUTED_VALUE"""),"売上総利益率")</f>
        <v>売上総利益率</v>
      </c>
      <c r="B42" s="49">
        <f>IFERROR(__xludf.DUMMYFUNCTION("""COMPUTED_VALUE"""),0.9847813266990253)</f>
        <v>0.9847813267</v>
      </c>
      <c r="C42" s="49">
        <f>IFERROR(__xludf.DUMMYFUNCTION("""COMPUTED_VALUE"""),0.7379208733575412)</f>
        <v>0.7379208734</v>
      </c>
      <c r="D42" s="49">
        <f>IFERROR(__xludf.DUMMYFUNCTION("""COMPUTED_VALUE"""),0.7333407448066309)</f>
        <v>0.7333407448</v>
      </c>
      <c r="E42" s="49">
        <f>IFERROR(__xludf.DUMMYFUNCTION("""COMPUTED_VALUE"""),0.8084030468048881)</f>
        <v>0.8084030468</v>
      </c>
      <c r="F42" s="49">
        <f>IFERROR(__xludf.DUMMYFUNCTION("""COMPUTED_VALUE"""),0.8289357502285016)</f>
        <v>0.8289357502</v>
      </c>
      <c r="G42" s="49">
        <f>IFERROR(__xludf.DUMMYFUNCTION("""COMPUTED_VALUE"""),0.7981616757274813)</f>
        <v>0.7981616757</v>
      </c>
      <c r="H42" s="16"/>
      <c r="I42" s="49">
        <f>IFERROR(__xludf.DUMMYFUNCTION("""COMPUTED_VALUE"""),0.514839821731845)</f>
        <v>0.5148398217</v>
      </c>
      <c r="J42" s="49">
        <f>IFERROR(__xludf.DUMMYFUNCTION("""COMPUTED_VALUE"""),0.399129539891767)</f>
        <v>0.3991295399</v>
      </c>
      <c r="K42" s="49" t="str">
        <f>IFERROR(__xludf.DUMMYFUNCTION("""COMPUTED_VALUE"""),"")</f>
        <v/>
      </c>
      <c r="L42" s="49" t="str">
        <f>IFERROR(__xludf.DUMMYFUNCTION("""COMPUTED_VALUE"""),"")</f>
        <v/>
      </c>
      <c r="M42" s="49" t="str">
        <f>IFERROR(__xludf.DUMMYFUNCTION("""COMPUTED_VALUE"""),"")</f>
        <v/>
      </c>
      <c r="N42" s="49" t="str">
        <f>IFERROR(__xludf.DUMMYFUNCTION("""COMPUTED_VALUE"""),"")</f>
        <v/>
      </c>
      <c r="O42" s="49">
        <f>IFERROR(__xludf.DUMMYFUNCTION("""COMPUTED_VALUE"""),0.753984151037411)</f>
        <v>0.753984151</v>
      </c>
      <c r="P42" s="47"/>
      <c r="Q42" s="16"/>
    </row>
    <row r="43" ht="15.75" customHeight="1">
      <c r="A43" s="48"/>
      <c r="B43" s="48"/>
      <c r="C43" s="48"/>
      <c r="D43" s="48"/>
      <c r="E43" s="48"/>
      <c r="F43" s="48"/>
      <c r="G43" s="48"/>
      <c r="H43" s="3"/>
      <c r="I43" s="48"/>
      <c r="J43" s="48"/>
      <c r="K43" s="48"/>
      <c r="L43" s="48"/>
      <c r="M43" s="48"/>
      <c r="N43" s="48"/>
      <c r="O43" s="50"/>
      <c r="P43" s="47"/>
      <c r="Q43" s="16"/>
    </row>
    <row r="44" ht="23.25" customHeight="1">
      <c r="A44" s="43" t="str">
        <f>IFERROR(__xludf.DUMMYFUNCTION("""COMPUTED_VALUE"""),"販売管理費")</f>
        <v>販売管理費</v>
      </c>
      <c r="B44" s="44">
        <f>IFERROR(__xludf.DUMMYFUNCTION("""COMPUTED_VALUE"""),1.2672803181818182E7)</f>
        <v>12672803.18</v>
      </c>
      <c r="C44" s="44">
        <f>IFERROR(__xludf.DUMMYFUNCTION("""COMPUTED_VALUE"""),1.2801118818181818E7)</f>
        <v>12801118.82</v>
      </c>
      <c r="D44" s="44">
        <f>IFERROR(__xludf.DUMMYFUNCTION("""COMPUTED_VALUE"""),1.9157181181818184E7)</f>
        <v>19157181.18</v>
      </c>
      <c r="E44" s="44">
        <f>IFERROR(__xludf.DUMMYFUNCTION("""COMPUTED_VALUE"""),1.0918585E7)</f>
        <v>10918585</v>
      </c>
      <c r="F44" s="44">
        <f>IFERROR(__xludf.DUMMYFUNCTION("""COMPUTED_VALUE"""),1.1986603727272727E7)</f>
        <v>11986603.73</v>
      </c>
      <c r="G44" s="44">
        <f>IFERROR(__xludf.DUMMYFUNCTION("""COMPUTED_VALUE"""),1.1994043909090908E7)</f>
        <v>11994043.91</v>
      </c>
      <c r="H44" s="49"/>
      <c r="I44" s="44">
        <f>IFERROR(__xludf.DUMMYFUNCTION("""COMPUTED_VALUE"""),1.0189037727272727E7)</f>
        <v>10189037.73</v>
      </c>
      <c r="J44" s="44">
        <f>IFERROR(__xludf.DUMMYFUNCTION("""COMPUTED_VALUE"""),1.1715303636363637E7)</f>
        <v>11715303.64</v>
      </c>
      <c r="K44" s="44">
        <f>IFERROR(__xludf.DUMMYFUNCTION("""COMPUTED_VALUE"""),0.0)</f>
        <v>0</v>
      </c>
      <c r="L44" s="44">
        <f>IFERROR(__xludf.DUMMYFUNCTION("""COMPUTED_VALUE"""),0.0)</f>
        <v>0</v>
      </c>
      <c r="M44" s="44">
        <f>IFERROR(__xludf.DUMMYFUNCTION("""COMPUTED_VALUE"""),0.0)</f>
        <v>0</v>
      </c>
      <c r="N44" s="44">
        <f>IFERROR(__xludf.DUMMYFUNCTION("""COMPUTED_VALUE"""),0.0)</f>
        <v>0</v>
      </c>
      <c r="O44" s="44">
        <f>IFERROR(__xludf.DUMMYFUNCTION("""COMPUTED_VALUE"""),1.0143467718181817E8)</f>
        <v>101434677.2</v>
      </c>
      <c r="P44" s="22">
        <f>IFERROR(__xludf.DUMMYFUNCTION("""COMPUTED_VALUE"""),1.2654652538865998)</f>
        <v>1.265465254</v>
      </c>
      <c r="Q44" s="16"/>
    </row>
    <row r="45" ht="15.75" customHeight="1">
      <c r="A45" s="48" t="str">
        <f>IFERROR(__xludf.DUMMYFUNCTION("""COMPUTED_VALUE"""),"通信費")</f>
        <v>通信費</v>
      </c>
      <c r="B45" s="46">
        <f>IFERROR(__xludf.DUMMYFUNCTION("""COMPUTED_VALUE"""),2262483.0)</f>
        <v>2262483</v>
      </c>
      <c r="C45" s="24">
        <f>IFERROR(__xludf.DUMMYFUNCTION("""COMPUTED_VALUE"""),2651683.0)</f>
        <v>2651683</v>
      </c>
      <c r="D45" s="24">
        <f>IFERROR(__xludf.DUMMYFUNCTION("""COMPUTED_VALUE"""),2051398.0)</f>
        <v>2051398</v>
      </c>
      <c r="E45" s="24">
        <f>IFERROR(__xludf.DUMMYFUNCTION("""COMPUTED_VALUE"""),1426079.0)</f>
        <v>1426079</v>
      </c>
      <c r="F45" s="24">
        <f>IFERROR(__xludf.DUMMYFUNCTION("""COMPUTED_VALUE"""),1425783.0)</f>
        <v>1425783</v>
      </c>
      <c r="G45" s="24">
        <f>IFERROR(__xludf.DUMMYFUNCTION("""COMPUTED_VALUE"""),1392906.0)</f>
        <v>1392906</v>
      </c>
      <c r="H45" s="24"/>
      <c r="I45" s="24">
        <f>IFERROR(__xludf.DUMMYFUNCTION("""COMPUTED_VALUE"""),1402750.0)</f>
        <v>1402750</v>
      </c>
      <c r="J45" s="24">
        <f>IFERROR(__xludf.DUMMYFUNCTION("""COMPUTED_VALUE"""),1399573.0)</f>
        <v>1399573</v>
      </c>
      <c r="K45" s="24">
        <f>IFERROR(__xludf.DUMMYFUNCTION("""COMPUTED_VALUE"""),0.0)</f>
        <v>0</v>
      </c>
      <c r="L45" s="24">
        <f>IFERROR(__xludf.DUMMYFUNCTION("""COMPUTED_VALUE"""),0.0)</f>
        <v>0</v>
      </c>
      <c r="M45" s="24">
        <f>IFERROR(__xludf.DUMMYFUNCTION("""COMPUTED_VALUE"""),0.0)</f>
        <v>0</v>
      </c>
      <c r="N45" s="24">
        <f>IFERROR(__xludf.DUMMYFUNCTION("""COMPUTED_VALUE"""),0.0)</f>
        <v>0</v>
      </c>
      <c r="O45" s="24">
        <f>IFERROR(__xludf.DUMMYFUNCTION("""COMPUTED_VALUE"""),1.4012655E7)</f>
        <v>14012655</v>
      </c>
      <c r="P45" s="16">
        <f>IFERROR(__xludf.DUMMYFUNCTION("""COMPUTED_VALUE"""),0.13814462064963048)</f>
        <v>0.1381446206</v>
      </c>
      <c r="Q45" s="16"/>
    </row>
    <row r="46" ht="15.75" customHeight="1">
      <c r="A46" s="51" t="str">
        <f>IFERROR(__xludf.DUMMYFUNCTION("""COMPUTED_VALUE"""),"電話料金")</f>
        <v>電話料金</v>
      </c>
      <c r="B46" s="67">
        <f>IFERROR(__xludf.DUMMYFUNCTION("""COMPUTED_VALUE"""),9268.0)</f>
        <v>9268</v>
      </c>
      <c r="C46" s="11">
        <f>IFERROR(__xludf.DUMMYFUNCTION("""COMPUTED_VALUE"""),10346.0)</f>
        <v>10346</v>
      </c>
      <c r="D46" s="11">
        <f>IFERROR(__xludf.DUMMYFUNCTION("""COMPUTED_VALUE"""),8055.0)</f>
        <v>8055</v>
      </c>
      <c r="E46" s="11">
        <f>IFERROR(__xludf.DUMMYFUNCTION("""COMPUTED_VALUE"""),9251.0)</f>
        <v>9251</v>
      </c>
      <c r="F46" s="11">
        <f>IFERROR(__xludf.DUMMYFUNCTION("""COMPUTED_VALUE"""),9559.0)</f>
        <v>9559</v>
      </c>
      <c r="G46" s="11">
        <f>IFERROR(__xludf.DUMMYFUNCTION("""COMPUTED_VALUE"""),10290.0)</f>
        <v>10290</v>
      </c>
      <c r="H46" s="66"/>
      <c r="I46" s="11">
        <f>IFERROR(__xludf.DUMMYFUNCTION("""COMPUTED_VALUE"""),11142.0)</f>
        <v>11142</v>
      </c>
      <c r="J46" s="11">
        <f>IFERROR(__xludf.DUMMYFUNCTION("""COMPUTED_VALUE"""),15243.0)</f>
        <v>15243</v>
      </c>
      <c r="K46" s="11"/>
      <c r="L46" s="11"/>
      <c r="M46" s="11"/>
      <c r="N46" s="11"/>
      <c r="O46" s="77">
        <f>IFERROR(__xludf.DUMMYFUNCTION("""COMPUTED_VALUE"""),83154.0)</f>
        <v>83154</v>
      </c>
      <c r="P46" s="78">
        <f>IFERROR(__xludf.DUMMYFUNCTION("""COMPUTED_VALUE"""),0.005934207329017949)</f>
        <v>0.005934207329</v>
      </c>
      <c r="Q46" s="16"/>
    </row>
    <row r="47" ht="15.75" customHeight="1">
      <c r="A47" s="51" t="str">
        <f>IFERROR(__xludf.DUMMYFUNCTION("""COMPUTED_VALUE"""),"送料")</f>
        <v>送料</v>
      </c>
      <c r="B47" s="67">
        <f>IFERROR(__xludf.DUMMYFUNCTION("""COMPUTED_VALUE"""),724.0)</f>
        <v>724</v>
      </c>
      <c r="C47" s="11">
        <f>IFERROR(__xludf.DUMMYFUNCTION("""COMPUTED_VALUE"""),476.0)</f>
        <v>476</v>
      </c>
      <c r="D47" s="11">
        <f>IFERROR(__xludf.DUMMYFUNCTION("""COMPUTED_VALUE"""),5740.0)</f>
        <v>5740</v>
      </c>
      <c r="E47" s="11">
        <f>IFERROR(__xludf.DUMMYFUNCTION("""COMPUTED_VALUE"""),4344.0)</f>
        <v>4344</v>
      </c>
      <c r="F47" s="11">
        <f>IFERROR(__xludf.DUMMYFUNCTION("""COMPUTED_VALUE"""),708.0)</f>
        <v>708</v>
      </c>
      <c r="G47" s="11">
        <f>IFERROR(__xludf.DUMMYFUNCTION("""COMPUTED_VALUE"""),2852.0)</f>
        <v>2852</v>
      </c>
      <c r="H47" s="66"/>
      <c r="I47" s="11">
        <f>IFERROR(__xludf.DUMMYFUNCTION("""COMPUTED_VALUE"""),4512.0)</f>
        <v>4512</v>
      </c>
      <c r="J47" s="11">
        <f>IFERROR(__xludf.DUMMYFUNCTION("""COMPUTED_VALUE"""),1390.0)</f>
        <v>1390</v>
      </c>
      <c r="K47" s="11"/>
      <c r="L47" s="11"/>
      <c r="M47" s="11"/>
      <c r="N47" s="11"/>
      <c r="O47" s="77">
        <f>IFERROR(__xludf.DUMMYFUNCTION("""COMPUTED_VALUE"""),20746.0)</f>
        <v>20746</v>
      </c>
      <c r="P47" s="78">
        <f>IFERROR(__xludf.DUMMYFUNCTION("""COMPUTED_VALUE"""),0.0014805188595594483)</f>
        <v>0.00148051886</v>
      </c>
      <c r="Q47" s="16"/>
    </row>
    <row r="48" ht="15.75" customHeight="1">
      <c r="A48" s="51" t="str">
        <f>IFERROR(__xludf.DUMMYFUNCTION("""COMPUTED_VALUE"""),"ASP・ｻｰﾊﾞ・ﾄﾞﾒｲﾝ代")</f>
        <v>ASP・ｻｰﾊﾞ・ﾄﾞﾒｲﾝ代</v>
      </c>
      <c r="B48" s="67">
        <f>IFERROR(__xludf.DUMMYFUNCTION("""COMPUTED_VALUE"""),2252491.0)</f>
        <v>2252491</v>
      </c>
      <c r="C48" s="11">
        <f>IFERROR(__xludf.DUMMYFUNCTION("""COMPUTED_VALUE"""),2640861.0)</f>
        <v>2640861</v>
      </c>
      <c r="D48" s="11">
        <f>IFERROR(__xludf.DUMMYFUNCTION("""COMPUTED_VALUE"""),2037603.0)</f>
        <v>2037603</v>
      </c>
      <c r="E48" s="11">
        <f>IFERROR(__xludf.DUMMYFUNCTION("""COMPUTED_VALUE"""),1412484.0)</f>
        <v>1412484</v>
      </c>
      <c r="F48" s="11">
        <f>IFERROR(__xludf.DUMMYFUNCTION("""COMPUTED_VALUE"""),1415516.0)</f>
        <v>1415516</v>
      </c>
      <c r="G48" s="11">
        <f>IFERROR(__xludf.DUMMYFUNCTION("""COMPUTED_VALUE"""),1379764.0)</f>
        <v>1379764</v>
      </c>
      <c r="H48" s="66"/>
      <c r="I48" s="11">
        <f>IFERROR(__xludf.DUMMYFUNCTION("""COMPUTED_VALUE"""),1387096.0)</f>
        <v>1387096</v>
      </c>
      <c r="J48" s="11">
        <f>IFERROR(__xludf.DUMMYFUNCTION("""COMPUTED_VALUE"""),1382940.0)</f>
        <v>1382940</v>
      </c>
      <c r="K48" s="11"/>
      <c r="L48" s="11"/>
      <c r="M48" s="11"/>
      <c r="N48" s="11"/>
      <c r="O48" s="77">
        <f>IFERROR(__xludf.DUMMYFUNCTION("""COMPUTED_VALUE"""),1.3908755E7)</f>
        <v>13908755</v>
      </c>
      <c r="P48" s="78">
        <f>IFERROR(__xludf.DUMMYFUNCTION("""COMPUTED_VALUE"""),0.9925852738114226)</f>
        <v>0.9925852738</v>
      </c>
      <c r="Q48" s="16"/>
    </row>
    <row r="49" ht="15.75" customHeight="1">
      <c r="A49" s="51" t="str">
        <f>IFERROR(__xludf.DUMMYFUNCTION("""COMPUTED_VALUE"""),"その他")</f>
        <v>その他</v>
      </c>
      <c r="B49" s="70"/>
      <c r="C49" s="11"/>
      <c r="D49" s="11"/>
      <c r="E49" s="11">
        <f>IFERROR(__xludf.DUMMYFUNCTION("""COMPUTED_VALUE"""),0.0)</f>
        <v>0</v>
      </c>
      <c r="F49" s="11">
        <f>IFERROR(__xludf.DUMMYFUNCTION("""COMPUTED_VALUE"""),0.0)</f>
        <v>0</v>
      </c>
      <c r="G49" s="11">
        <f>IFERROR(__xludf.DUMMYFUNCTION("""COMPUTED_VALUE"""),0.0)</f>
        <v>0</v>
      </c>
      <c r="H49" s="66"/>
      <c r="I49" s="11">
        <f>IFERROR(__xludf.DUMMYFUNCTION("""COMPUTED_VALUE"""),0.0)</f>
        <v>0</v>
      </c>
      <c r="J49" s="11">
        <f>IFERROR(__xludf.DUMMYFUNCTION("""COMPUTED_VALUE"""),0.0)</f>
        <v>0</v>
      </c>
      <c r="K49" s="11"/>
      <c r="L49" s="11"/>
      <c r="M49" s="11"/>
      <c r="N49" s="11"/>
      <c r="O49" s="77">
        <f>IFERROR(__xludf.DUMMYFUNCTION("""COMPUTED_VALUE"""),0.0)</f>
        <v>0</v>
      </c>
      <c r="P49" s="78">
        <f>IFERROR(__xludf.DUMMYFUNCTION("""COMPUTED_VALUE"""),0.0)</f>
        <v>0</v>
      </c>
      <c r="Q49" s="16"/>
    </row>
    <row r="50" ht="15.75" customHeight="1">
      <c r="A50" s="48" t="str">
        <f>IFERROR(__xludf.DUMMYFUNCTION("""COMPUTED_VALUE"""),"水道光熱費")</f>
        <v>水道光熱費</v>
      </c>
      <c r="B50" s="70"/>
      <c r="C50" s="11"/>
      <c r="D50" s="11"/>
      <c r="E50" s="11">
        <f>IFERROR(__xludf.DUMMYFUNCTION("""COMPUTED_VALUE"""),0.0)</f>
        <v>0</v>
      </c>
      <c r="F50" s="11">
        <f>IFERROR(__xludf.DUMMYFUNCTION("""COMPUTED_VALUE"""),0.0)</f>
        <v>0</v>
      </c>
      <c r="G50" s="11">
        <f>IFERROR(__xludf.DUMMYFUNCTION("""COMPUTED_VALUE"""),0.0)</f>
        <v>0</v>
      </c>
      <c r="H50" s="66"/>
      <c r="I50" s="11">
        <f>IFERROR(__xludf.DUMMYFUNCTION("""COMPUTED_VALUE"""),0.0)</f>
        <v>0</v>
      </c>
      <c r="J50" s="11">
        <f>IFERROR(__xludf.DUMMYFUNCTION("""COMPUTED_VALUE"""),0.0)</f>
        <v>0</v>
      </c>
      <c r="K50" s="11"/>
      <c r="L50" s="11"/>
      <c r="M50" s="11"/>
      <c r="N50" s="11"/>
      <c r="O50" s="24">
        <f>IFERROR(__xludf.DUMMYFUNCTION("""COMPUTED_VALUE"""),0.0)</f>
        <v>0</v>
      </c>
      <c r="P50" s="16">
        <f>IFERROR(__xludf.DUMMYFUNCTION("""COMPUTED_VALUE"""),0.0)</f>
        <v>0</v>
      </c>
      <c r="Q50" s="16"/>
    </row>
    <row r="51" ht="15.75" customHeight="1">
      <c r="A51" s="48" t="str">
        <f>IFERROR(__xludf.DUMMYFUNCTION("""COMPUTED_VALUE"""),"旅費交通費")</f>
        <v>旅費交通費</v>
      </c>
      <c r="B51" s="67">
        <f>IFERROR(__xludf.DUMMYFUNCTION("""COMPUTED_VALUE"""),237840.0)</f>
        <v>237840</v>
      </c>
      <c r="C51" s="11">
        <f>IFERROR(__xludf.DUMMYFUNCTION("""COMPUTED_VALUE"""),574005.0)</f>
        <v>574005</v>
      </c>
      <c r="D51" s="11">
        <f>IFERROR(__xludf.DUMMYFUNCTION("""COMPUTED_VALUE"""),461738.0)</f>
        <v>461738</v>
      </c>
      <c r="E51" s="11">
        <f>IFERROR(__xludf.DUMMYFUNCTION("""COMPUTED_VALUE"""),377728.0)</f>
        <v>377728</v>
      </c>
      <c r="F51" s="11">
        <f>IFERROR(__xludf.DUMMYFUNCTION("""COMPUTED_VALUE"""),538645.0)</f>
        <v>538645</v>
      </c>
      <c r="G51" s="11">
        <f>IFERROR(__xludf.DUMMYFUNCTION("""COMPUTED_VALUE"""),254655.0)</f>
        <v>254655</v>
      </c>
      <c r="H51" s="66"/>
      <c r="I51" s="11">
        <f>IFERROR(__xludf.DUMMYFUNCTION("""COMPUTED_VALUE"""),137994.0)</f>
        <v>137994</v>
      </c>
      <c r="J51" s="11">
        <f>IFERROR(__xludf.DUMMYFUNCTION("""COMPUTED_VALUE"""),147341.0)</f>
        <v>147341</v>
      </c>
      <c r="K51" s="11"/>
      <c r="L51" s="11"/>
      <c r="M51" s="11"/>
      <c r="N51" s="11"/>
      <c r="O51" s="24">
        <f>IFERROR(__xludf.DUMMYFUNCTION("""COMPUTED_VALUE"""),2729946.0)</f>
        <v>2729946</v>
      </c>
      <c r="P51" s="16">
        <f>IFERROR(__xludf.DUMMYFUNCTION("""COMPUTED_VALUE"""),0.026913340445759645)</f>
        <v>0.02691334045</v>
      </c>
      <c r="Q51" s="16"/>
    </row>
    <row r="52" ht="15.75" customHeight="1">
      <c r="A52" s="48" t="str">
        <f>IFERROR(__xludf.DUMMYFUNCTION("""COMPUTED_VALUE"""),"広告宣伝費")</f>
        <v>広告宣伝費</v>
      </c>
      <c r="B52" s="46">
        <f>IFERROR(__xludf.DUMMYFUNCTION("""COMPUTED_VALUE"""),42720.0)</f>
        <v>42720</v>
      </c>
      <c r="C52" s="24">
        <f>IFERROR(__xludf.DUMMYFUNCTION("""COMPUTED_VALUE"""),127047.0)</f>
        <v>127047</v>
      </c>
      <c r="D52" s="24">
        <f>IFERROR(__xludf.DUMMYFUNCTION("""COMPUTED_VALUE"""),142765.0)</f>
        <v>142765</v>
      </c>
      <c r="E52" s="24">
        <f>IFERROR(__xludf.DUMMYFUNCTION("""COMPUTED_VALUE"""),621500.0)</f>
        <v>621500</v>
      </c>
      <c r="F52" s="24">
        <f>IFERROR(__xludf.DUMMYFUNCTION("""COMPUTED_VALUE"""),227066.0)</f>
        <v>227066</v>
      </c>
      <c r="G52" s="24">
        <f>IFERROR(__xludf.DUMMYFUNCTION("""COMPUTED_VALUE"""),223943.0)</f>
        <v>223943</v>
      </c>
      <c r="H52" s="24"/>
      <c r="I52" s="24">
        <f>IFERROR(__xludf.DUMMYFUNCTION("""COMPUTED_VALUE"""),434494.0)</f>
        <v>434494</v>
      </c>
      <c r="J52" s="24">
        <f>IFERROR(__xludf.DUMMYFUNCTION("""COMPUTED_VALUE"""),878021.0)</f>
        <v>878021</v>
      </c>
      <c r="K52" s="24">
        <f>IFERROR(__xludf.DUMMYFUNCTION("""COMPUTED_VALUE"""),0.0)</f>
        <v>0</v>
      </c>
      <c r="L52" s="24">
        <f>IFERROR(__xludf.DUMMYFUNCTION("""COMPUTED_VALUE"""),0.0)</f>
        <v>0</v>
      </c>
      <c r="M52" s="24">
        <f>IFERROR(__xludf.DUMMYFUNCTION("""COMPUTED_VALUE"""),0.0)</f>
        <v>0</v>
      </c>
      <c r="N52" s="24">
        <f>IFERROR(__xludf.DUMMYFUNCTION("""COMPUTED_VALUE"""),0.0)</f>
        <v>0</v>
      </c>
      <c r="O52" s="24">
        <f>IFERROR(__xludf.DUMMYFUNCTION("""COMPUTED_VALUE"""),2697556.0)</f>
        <v>2697556</v>
      </c>
      <c r="P52" s="16">
        <f>IFERROR(__xludf.DUMMYFUNCTION("""COMPUTED_VALUE"""),0.02659402163980592)</f>
        <v>0.02659402164</v>
      </c>
      <c r="Q52" s="16"/>
    </row>
    <row r="53" ht="15.75" customHeight="1">
      <c r="A53" s="51" t="str">
        <f>IFERROR(__xludf.DUMMYFUNCTION("""COMPUTED_VALUE"""),"リスティング-Web関連")</f>
        <v>リスティング-Web関連</v>
      </c>
      <c r="B53" s="70"/>
      <c r="C53" s="11"/>
      <c r="D53" s="11"/>
      <c r="E53" s="11">
        <f>IFERROR(__xludf.DUMMYFUNCTION("""COMPUTED_VALUE"""),31399.0)</f>
        <v>31399</v>
      </c>
      <c r="F53" s="11">
        <f>IFERROR(__xludf.DUMMYFUNCTION("""COMPUTED_VALUE"""),59050.0)</f>
        <v>59050</v>
      </c>
      <c r="G53" s="11">
        <f>IFERROR(__xludf.DUMMYFUNCTION("""COMPUTED_VALUE"""),45437.0)</f>
        <v>45437</v>
      </c>
      <c r="H53" s="66"/>
      <c r="I53" s="11">
        <f>IFERROR(__xludf.DUMMYFUNCTION("""COMPUTED_VALUE"""),135000.0)</f>
        <v>135000</v>
      </c>
      <c r="J53" s="11">
        <f>IFERROR(__xludf.DUMMYFUNCTION("""COMPUTED_VALUE"""),507712.0)</f>
        <v>507712</v>
      </c>
      <c r="K53" s="11"/>
      <c r="L53" s="11"/>
      <c r="M53" s="11"/>
      <c r="N53" s="11"/>
      <c r="O53" s="77">
        <f>IFERROR(__xludf.DUMMYFUNCTION("""COMPUTED_VALUE"""),778598.0)</f>
        <v>778598</v>
      </c>
      <c r="P53" s="78">
        <f>IFERROR(__xludf.DUMMYFUNCTION("""COMPUTED_VALUE"""),0.2886308940389004)</f>
        <v>0.288630894</v>
      </c>
      <c r="Q53" s="16"/>
    </row>
    <row r="54" ht="15.75" customHeight="1">
      <c r="A54" s="51" t="str">
        <f>IFERROR(__xludf.DUMMYFUNCTION("""COMPUTED_VALUE"""),"SEO関連-Web関連")</f>
        <v>SEO関連-Web関連</v>
      </c>
      <c r="B54" s="70"/>
      <c r="C54" s="11"/>
      <c r="D54" s="11"/>
      <c r="E54" s="11">
        <f>IFERROR(__xludf.DUMMYFUNCTION("""COMPUTED_VALUE"""),0.0)</f>
        <v>0</v>
      </c>
      <c r="F54" s="11">
        <f>IFERROR(__xludf.DUMMYFUNCTION("""COMPUTED_VALUE"""),0.0)</f>
        <v>0</v>
      </c>
      <c r="G54" s="11">
        <f>IFERROR(__xludf.DUMMYFUNCTION("""COMPUTED_VALUE"""),0.0)</f>
        <v>0</v>
      </c>
      <c r="H54" s="66"/>
      <c r="I54" s="11">
        <f>IFERROR(__xludf.DUMMYFUNCTION("""COMPUTED_VALUE"""),0.0)</f>
        <v>0</v>
      </c>
      <c r="J54" s="11">
        <f>IFERROR(__xludf.DUMMYFUNCTION("""COMPUTED_VALUE"""),330000.0)</f>
        <v>330000</v>
      </c>
      <c r="K54" s="11"/>
      <c r="L54" s="11"/>
      <c r="M54" s="11"/>
      <c r="N54" s="11"/>
      <c r="O54" s="77">
        <f>IFERROR(__xludf.DUMMYFUNCTION("""COMPUTED_VALUE"""),330000.0)</f>
        <v>330000</v>
      </c>
      <c r="P54" s="78">
        <f>IFERROR(__xludf.DUMMYFUNCTION("""COMPUTED_VALUE"""),0.12233295620183603)</f>
        <v>0.1223329562</v>
      </c>
      <c r="Q54" s="16"/>
    </row>
    <row r="55" ht="15.75" customHeight="1">
      <c r="A55" s="51" t="str">
        <f>IFERROR(__xludf.DUMMYFUNCTION("""COMPUTED_VALUE"""),"アフィリエイト-Web関連")</f>
        <v>アフィリエイト-Web関連</v>
      </c>
      <c r="B55" s="70"/>
      <c r="C55" s="11"/>
      <c r="D55" s="11"/>
      <c r="E55" s="11">
        <f>IFERROR(__xludf.DUMMYFUNCTION("""COMPUTED_VALUE"""),0.0)</f>
        <v>0</v>
      </c>
      <c r="F55" s="11">
        <f>IFERROR(__xludf.DUMMYFUNCTION("""COMPUTED_VALUE"""),0.0)</f>
        <v>0</v>
      </c>
      <c r="G55" s="11">
        <f>IFERROR(__xludf.DUMMYFUNCTION("""COMPUTED_VALUE"""),35000.0)</f>
        <v>35000</v>
      </c>
      <c r="H55" s="66"/>
      <c r="I55" s="11">
        <f>IFERROR(__xludf.DUMMYFUNCTION("""COMPUTED_VALUE"""),36200.0)</f>
        <v>36200</v>
      </c>
      <c r="J55" s="11">
        <f>IFERROR(__xludf.DUMMYFUNCTION("""COMPUTED_VALUE"""),36200.0)</f>
        <v>36200</v>
      </c>
      <c r="K55" s="11"/>
      <c r="L55" s="11"/>
      <c r="M55" s="11"/>
      <c r="N55" s="11"/>
      <c r="O55" s="77">
        <f>IFERROR(__xludf.DUMMYFUNCTION("""COMPUTED_VALUE"""),107400.0)</f>
        <v>107400</v>
      </c>
      <c r="P55" s="78">
        <f>IFERROR(__xludf.DUMMYFUNCTION("""COMPUTED_VALUE"""),0.039813816654779365)</f>
        <v>0.03981381665</v>
      </c>
      <c r="Q55" s="16"/>
    </row>
    <row r="56" ht="15.75" customHeight="1">
      <c r="A56" s="51" t="str">
        <f>IFERROR(__xludf.DUMMYFUNCTION("""COMPUTED_VALUE"""),"その他-Web関連")</f>
        <v>その他-Web関連</v>
      </c>
      <c r="B56" s="70"/>
      <c r="C56" s="11"/>
      <c r="D56" s="11"/>
      <c r="E56" s="11">
        <f>IFERROR(__xludf.DUMMYFUNCTION("""COMPUTED_VALUE"""),451000.0)</f>
        <v>451000</v>
      </c>
      <c r="F56" s="11">
        <f>IFERROR(__xludf.DUMMYFUNCTION("""COMPUTED_VALUE"""),0.0)</f>
        <v>0</v>
      </c>
      <c r="G56" s="11">
        <f>IFERROR(__xludf.DUMMYFUNCTION("""COMPUTED_VALUE"""),3921.0)</f>
        <v>3921</v>
      </c>
      <c r="H56" s="66"/>
      <c r="I56" s="11">
        <f>IFERROR(__xludf.DUMMYFUNCTION("""COMPUTED_VALUE"""),0.0)</f>
        <v>0</v>
      </c>
      <c r="J56" s="11">
        <f>IFERROR(__xludf.DUMMYFUNCTION("""COMPUTED_VALUE"""),0.0)</f>
        <v>0</v>
      </c>
      <c r="K56" s="11"/>
      <c r="L56" s="11"/>
      <c r="M56" s="11"/>
      <c r="N56" s="11"/>
      <c r="O56" s="77">
        <f>IFERROR(__xludf.DUMMYFUNCTION("""COMPUTED_VALUE"""),454921.0)</f>
        <v>454921</v>
      </c>
      <c r="P56" s="78">
        <f>IFERROR(__xludf.DUMMYFUNCTION("""COMPUTED_VALUE"""),0.1686419114190771)</f>
        <v>0.1686419114</v>
      </c>
      <c r="Q56" s="16"/>
    </row>
    <row r="57" ht="15.75" customHeight="1">
      <c r="A57" s="51" t="str">
        <f>IFERROR(__xludf.DUMMYFUNCTION("""COMPUTED_VALUE"""),"印刷関連")</f>
        <v>印刷関連</v>
      </c>
      <c r="B57" s="67">
        <f>IFERROR(__xludf.DUMMYFUNCTION("""COMPUTED_VALUE"""),3120.0)</f>
        <v>3120</v>
      </c>
      <c r="C57" s="11">
        <f>IFERROR(__xludf.DUMMYFUNCTION("""COMPUTED_VALUE"""),4617.0)</f>
        <v>4617</v>
      </c>
      <c r="D57" s="11">
        <f>IFERROR(__xludf.DUMMYFUNCTION("""COMPUTED_VALUE"""),2930.0)</f>
        <v>2930</v>
      </c>
      <c r="E57" s="11">
        <f>IFERROR(__xludf.DUMMYFUNCTION("""COMPUTED_VALUE"""),9860.0)</f>
        <v>9860</v>
      </c>
      <c r="F57" s="11">
        <f>IFERROR(__xludf.DUMMYFUNCTION("""COMPUTED_VALUE"""),10760.0)</f>
        <v>10760</v>
      </c>
      <c r="G57" s="11">
        <f>IFERROR(__xludf.DUMMYFUNCTION("""COMPUTED_VALUE"""),0.0)</f>
        <v>0</v>
      </c>
      <c r="H57" s="66"/>
      <c r="I57" s="11">
        <f>IFERROR(__xludf.DUMMYFUNCTION("""COMPUTED_VALUE"""),40.0)</f>
        <v>40</v>
      </c>
      <c r="J57" s="11">
        <f>IFERROR(__xludf.DUMMYFUNCTION("""COMPUTED_VALUE"""),809.0)</f>
        <v>809</v>
      </c>
      <c r="K57" s="11"/>
      <c r="L57" s="11"/>
      <c r="M57" s="11"/>
      <c r="N57" s="11"/>
      <c r="O57" s="77">
        <f>IFERROR(__xludf.DUMMYFUNCTION("""COMPUTED_VALUE"""),32136.0)</f>
        <v>32136</v>
      </c>
      <c r="P57" s="78">
        <f>IFERROR(__xludf.DUMMYFUNCTION("""COMPUTED_VALUE"""),0.011913005698491524)</f>
        <v>0.0119130057</v>
      </c>
      <c r="Q57" s="16"/>
    </row>
    <row r="58" ht="15.75" customHeight="1">
      <c r="A58" s="51" t="str">
        <f>IFERROR(__xludf.DUMMYFUNCTION("""COMPUTED_VALUE"""),"交通広告関連")</f>
        <v>交通広告関連</v>
      </c>
      <c r="B58" s="70"/>
      <c r="C58" s="11"/>
      <c r="D58" s="11"/>
      <c r="E58" s="11">
        <f>IFERROR(__xludf.DUMMYFUNCTION("""COMPUTED_VALUE"""),0.0)</f>
        <v>0</v>
      </c>
      <c r="F58" s="11">
        <f>IFERROR(__xludf.DUMMYFUNCTION("""COMPUTED_VALUE"""),0.0)</f>
        <v>0</v>
      </c>
      <c r="G58" s="11">
        <f>IFERROR(__xludf.DUMMYFUNCTION("""COMPUTED_VALUE"""),0.0)</f>
        <v>0</v>
      </c>
      <c r="H58" s="66"/>
      <c r="I58" s="11">
        <f>IFERROR(__xludf.DUMMYFUNCTION("""COMPUTED_VALUE"""),0.0)</f>
        <v>0</v>
      </c>
      <c r="J58" s="11">
        <f>IFERROR(__xludf.DUMMYFUNCTION("""COMPUTED_VALUE"""),0.0)</f>
        <v>0</v>
      </c>
      <c r="K58" s="11"/>
      <c r="L58" s="11"/>
      <c r="M58" s="11"/>
      <c r="N58" s="11"/>
      <c r="O58" s="77">
        <f>IFERROR(__xludf.DUMMYFUNCTION("""COMPUTED_VALUE"""),0.0)</f>
        <v>0</v>
      </c>
      <c r="P58" s="78">
        <f>IFERROR(__xludf.DUMMYFUNCTION("""COMPUTED_VALUE"""),0.0)</f>
        <v>0</v>
      </c>
      <c r="Q58" s="16"/>
    </row>
    <row r="59" ht="15.75" customHeight="1">
      <c r="A59" s="51" t="str">
        <f>IFERROR(__xludf.DUMMYFUNCTION("""COMPUTED_VALUE"""),"求人広告費")</f>
        <v>求人広告費</v>
      </c>
      <c r="B59" s="70">
        <f>IFERROR(__xludf.DUMMYFUNCTION("""COMPUTED_VALUE"""),39600.0)</f>
        <v>39600</v>
      </c>
      <c r="C59" s="11">
        <f>IFERROR(__xludf.DUMMYFUNCTION("""COMPUTED_VALUE"""),110000.0)</f>
        <v>110000</v>
      </c>
      <c r="D59" s="11">
        <f>IFERROR(__xludf.DUMMYFUNCTION("""COMPUTED_VALUE"""),139835.0)</f>
        <v>139835</v>
      </c>
      <c r="E59" s="11">
        <f>IFERROR(__xludf.DUMMYFUNCTION("""COMPUTED_VALUE"""),129241.0)</f>
        <v>129241</v>
      </c>
      <c r="F59" s="11">
        <f>IFERROR(__xludf.DUMMYFUNCTION("""COMPUTED_VALUE"""),157256.0)</f>
        <v>157256</v>
      </c>
      <c r="G59" s="11">
        <f>IFERROR(__xludf.DUMMYFUNCTION("""COMPUTED_VALUE"""),139585.0)</f>
        <v>139585</v>
      </c>
      <c r="H59" s="66"/>
      <c r="I59" s="11">
        <f>IFERROR(__xludf.DUMMYFUNCTION("""COMPUTED_VALUE"""),230254.0)</f>
        <v>230254</v>
      </c>
      <c r="J59" s="11">
        <f>IFERROR(__xludf.DUMMYFUNCTION("""COMPUTED_VALUE"""),3300.0)</f>
        <v>3300</v>
      </c>
      <c r="K59" s="11"/>
      <c r="L59" s="11"/>
      <c r="M59" s="11"/>
      <c r="N59" s="11"/>
      <c r="O59" s="77">
        <f>IFERROR(__xludf.DUMMYFUNCTION("""COMPUTED_VALUE"""),949071.0)</f>
        <v>949071</v>
      </c>
      <c r="P59" s="78">
        <f>IFERROR(__xludf.DUMMYFUNCTION("""COMPUTED_VALUE"""),0.3518262456831295)</f>
        <v>0.3518262457</v>
      </c>
      <c r="Q59" s="16"/>
    </row>
    <row r="60" ht="15.75" customHeight="1">
      <c r="A60" s="51" t="str">
        <f>IFERROR(__xludf.DUMMYFUNCTION("""COMPUTED_VALUE"""),"その他")</f>
        <v>その他</v>
      </c>
      <c r="B60" s="70"/>
      <c r="C60" s="11">
        <f>IFERROR(__xludf.DUMMYFUNCTION("""COMPUTED_VALUE"""),12430.0)</f>
        <v>12430</v>
      </c>
      <c r="D60" s="11"/>
      <c r="E60" s="11">
        <f>IFERROR(__xludf.DUMMYFUNCTION("""COMPUTED_VALUE"""),0.0)</f>
        <v>0</v>
      </c>
      <c r="F60" s="11">
        <f>IFERROR(__xludf.DUMMYFUNCTION("""COMPUTED_VALUE"""),0.0)</f>
        <v>0</v>
      </c>
      <c r="G60" s="11">
        <f>IFERROR(__xludf.DUMMYFUNCTION("""COMPUTED_VALUE"""),0.0)</f>
        <v>0</v>
      </c>
      <c r="H60" s="66"/>
      <c r="I60" s="11">
        <f>IFERROR(__xludf.DUMMYFUNCTION("""COMPUTED_VALUE"""),33000.0)</f>
        <v>33000</v>
      </c>
      <c r="J60" s="11">
        <f>IFERROR(__xludf.DUMMYFUNCTION("""COMPUTED_VALUE"""),0.0)</f>
        <v>0</v>
      </c>
      <c r="K60" s="11"/>
      <c r="L60" s="11"/>
      <c r="M60" s="11"/>
      <c r="N60" s="11"/>
      <c r="O60" s="77">
        <f>IFERROR(__xludf.DUMMYFUNCTION("""COMPUTED_VALUE"""),45430.0)</f>
        <v>45430</v>
      </c>
      <c r="P60" s="78">
        <f>IFERROR(__xludf.DUMMYFUNCTION("""COMPUTED_VALUE"""),0.016841170303786093)</f>
        <v>0.0168411703</v>
      </c>
      <c r="Q60" s="16"/>
    </row>
    <row r="61" ht="15.75" customHeight="1">
      <c r="A61" s="48" t="str">
        <f>IFERROR(__xludf.DUMMYFUNCTION("""COMPUTED_VALUE"""),"研修費")</f>
        <v>研修費</v>
      </c>
      <c r="B61" s="67">
        <f>IFERROR(__xludf.DUMMYFUNCTION("""COMPUTED_VALUE"""),872353.0)</f>
        <v>872353</v>
      </c>
      <c r="C61" s="11">
        <f>IFERROR(__xludf.DUMMYFUNCTION("""COMPUTED_VALUE"""),844545.0)</f>
        <v>844545</v>
      </c>
      <c r="D61" s="11">
        <f>IFERROR(__xludf.DUMMYFUNCTION("""COMPUTED_VALUE"""),725858.0)</f>
        <v>725858</v>
      </c>
      <c r="E61" s="11">
        <f>IFERROR(__xludf.DUMMYFUNCTION("""COMPUTED_VALUE"""),737199.0)</f>
        <v>737199</v>
      </c>
      <c r="F61" s="11">
        <f>IFERROR(__xludf.DUMMYFUNCTION("""COMPUTED_VALUE"""),643672.0)</f>
        <v>643672</v>
      </c>
      <c r="G61" s="11">
        <f>IFERROR(__xludf.DUMMYFUNCTION("""COMPUTED_VALUE"""),766215.0)</f>
        <v>766215</v>
      </c>
      <c r="H61" s="66"/>
      <c r="I61" s="11">
        <f>IFERROR(__xludf.DUMMYFUNCTION("""COMPUTED_VALUE"""),593369.0)</f>
        <v>593369</v>
      </c>
      <c r="J61" s="11">
        <f>IFERROR(__xludf.DUMMYFUNCTION("""COMPUTED_VALUE"""),709214.0)</f>
        <v>709214</v>
      </c>
      <c r="K61" s="11"/>
      <c r="L61" s="11"/>
      <c r="M61" s="11"/>
      <c r="N61" s="11"/>
      <c r="O61" s="24">
        <f>IFERROR(__xludf.DUMMYFUNCTION("""COMPUTED_VALUE"""),5892425.0)</f>
        <v>5892425</v>
      </c>
      <c r="P61" s="16">
        <f>IFERROR(__xludf.DUMMYFUNCTION("""COMPUTED_VALUE"""),0.05809083405902728)</f>
        <v>0.05809083406</v>
      </c>
      <c r="Q61" s="16"/>
    </row>
    <row r="62" ht="15.75" customHeight="1">
      <c r="A62" s="48" t="str">
        <f>IFERROR(__xludf.DUMMYFUNCTION("""COMPUTED_VALUE"""),"接待交際費")</f>
        <v>接待交際費</v>
      </c>
      <c r="B62" s="70"/>
      <c r="C62" s="11">
        <f>IFERROR(__xludf.DUMMYFUNCTION("""COMPUTED_VALUE"""),12000.0)</f>
        <v>12000</v>
      </c>
      <c r="D62" s="11">
        <f>IFERROR(__xludf.DUMMYFUNCTION("""COMPUTED_VALUE"""),565.0)</f>
        <v>565</v>
      </c>
      <c r="E62" s="11">
        <f>IFERROR(__xludf.DUMMYFUNCTION("""COMPUTED_VALUE"""),23880.0)</f>
        <v>23880</v>
      </c>
      <c r="F62" s="11">
        <f>IFERROR(__xludf.DUMMYFUNCTION("""COMPUTED_VALUE"""),79425.0)</f>
        <v>79425</v>
      </c>
      <c r="G62" s="11">
        <f>IFERROR(__xludf.DUMMYFUNCTION("""COMPUTED_VALUE"""),125095.0)</f>
        <v>125095</v>
      </c>
      <c r="H62" s="66"/>
      <c r="I62" s="11">
        <f>IFERROR(__xludf.DUMMYFUNCTION("""COMPUTED_VALUE"""),0.0)</f>
        <v>0</v>
      </c>
      <c r="J62" s="11">
        <f>IFERROR(__xludf.DUMMYFUNCTION("""COMPUTED_VALUE"""),30415.0)</f>
        <v>30415</v>
      </c>
      <c r="K62" s="11"/>
      <c r="L62" s="11"/>
      <c r="M62" s="11"/>
      <c r="N62" s="11"/>
      <c r="O62" s="24">
        <f>IFERROR(__xludf.DUMMYFUNCTION("""COMPUTED_VALUE"""),271380.0)</f>
        <v>271380</v>
      </c>
      <c r="P62" s="16">
        <f>IFERROR(__xludf.DUMMYFUNCTION("""COMPUTED_VALUE"""),0.0026754164112294723)</f>
        <v>0.002675416411</v>
      </c>
      <c r="Q62" s="16"/>
    </row>
    <row r="63" ht="15.75" customHeight="1">
      <c r="A63" s="48" t="str">
        <f>IFERROR(__xludf.DUMMYFUNCTION("""COMPUTED_VALUE"""),"会議費")</f>
        <v>会議費</v>
      </c>
      <c r="B63" s="67">
        <f>IFERROR(__xludf.DUMMYFUNCTION("""COMPUTED_VALUE"""),127341.0)</f>
        <v>127341</v>
      </c>
      <c r="C63" s="11">
        <f>IFERROR(__xludf.DUMMYFUNCTION("""COMPUTED_VALUE"""),16928.0)</f>
        <v>16928</v>
      </c>
      <c r="D63" s="11">
        <f>IFERROR(__xludf.DUMMYFUNCTION("""COMPUTED_VALUE"""),4810.0)</f>
        <v>4810</v>
      </c>
      <c r="E63" s="11">
        <f>IFERROR(__xludf.DUMMYFUNCTION("""COMPUTED_VALUE"""),127606.0)</f>
        <v>127606</v>
      </c>
      <c r="F63" s="11">
        <f>IFERROR(__xludf.DUMMYFUNCTION("""COMPUTED_VALUE"""),21272.0)</f>
        <v>21272</v>
      </c>
      <c r="G63" s="11">
        <f>IFERROR(__xludf.DUMMYFUNCTION("""COMPUTED_VALUE"""),20015.0)</f>
        <v>20015</v>
      </c>
      <c r="H63" s="66"/>
      <c r="I63" s="11">
        <f>IFERROR(__xludf.DUMMYFUNCTION("""COMPUTED_VALUE"""),33593.0)</f>
        <v>33593</v>
      </c>
      <c r="J63" s="11">
        <f>IFERROR(__xludf.DUMMYFUNCTION("""COMPUTED_VALUE"""),63652.0)</f>
        <v>63652</v>
      </c>
      <c r="K63" s="11"/>
      <c r="L63" s="11"/>
      <c r="M63" s="11"/>
      <c r="N63" s="11"/>
      <c r="O63" s="24">
        <f>IFERROR(__xludf.DUMMYFUNCTION("""COMPUTED_VALUE"""),415217.0)</f>
        <v>415217</v>
      </c>
      <c r="P63" s="16">
        <f>IFERROR(__xludf.DUMMYFUNCTION("""COMPUTED_VALUE"""),0.004093442317125314)</f>
        <v>0.004093442317</v>
      </c>
      <c r="Q63" s="16"/>
    </row>
    <row r="64" ht="15.75" customHeight="1">
      <c r="A64" s="48" t="str">
        <f>IFERROR(__xludf.DUMMYFUNCTION("""COMPUTED_VALUE"""),"荷造運搬費")</f>
        <v>荷造運搬費</v>
      </c>
      <c r="B64" s="70"/>
      <c r="C64" s="11"/>
      <c r="D64" s="11"/>
      <c r="E64" s="11">
        <f>IFERROR(__xludf.DUMMYFUNCTION("""COMPUTED_VALUE"""),0.0)</f>
        <v>0</v>
      </c>
      <c r="F64" s="11">
        <f>IFERROR(__xludf.DUMMYFUNCTION("""COMPUTED_VALUE"""),0.0)</f>
        <v>0</v>
      </c>
      <c r="G64" s="11">
        <f>IFERROR(__xludf.DUMMYFUNCTION("""COMPUTED_VALUE"""),0.0)</f>
        <v>0</v>
      </c>
      <c r="H64" s="66"/>
      <c r="I64" s="11">
        <f>IFERROR(__xludf.DUMMYFUNCTION("""COMPUTED_VALUE"""),0.0)</f>
        <v>0</v>
      </c>
      <c r="J64" s="11">
        <f>IFERROR(__xludf.DUMMYFUNCTION("""COMPUTED_VALUE"""),0.0)</f>
        <v>0</v>
      </c>
      <c r="K64" s="11"/>
      <c r="L64" s="11"/>
      <c r="M64" s="11"/>
      <c r="N64" s="11"/>
      <c r="O64" s="24">
        <f>IFERROR(__xludf.DUMMYFUNCTION("""COMPUTED_VALUE"""),0.0)</f>
        <v>0</v>
      </c>
      <c r="P64" s="16">
        <f>IFERROR(__xludf.DUMMYFUNCTION("""COMPUTED_VALUE"""),0.0)</f>
        <v>0</v>
      </c>
      <c r="Q64" s="16"/>
    </row>
    <row r="65" ht="15.75" customHeight="1">
      <c r="A65" s="48" t="str">
        <f>IFERROR(__xludf.DUMMYFUNCTION("""COMPUTED_VALUE"""),"消耗品費")</f>
        <v>消耗品費</v>
      </c>
      <c r="B65" s="67">
        <f>IFERROR(__xludf.DUMMYFUNCTION("""COMPUTED_VALUE"""),181640.0)</f>
        <v>181640</v>
      </c>
      <c r="C65" s="11">
        <f>IFERROR(__xludf.DUMMYFUNCTION("""COMPUTED_VALUE"""),43551.0)</f>
        <v>43551</v>
      </c>
      <c r="D65" s="11">
        <f>IFERROR(__xludf.DUMMYFUNCTION("""COMPUTED_VALUE"""),207350.0)</f>
        <v>207350</v>
      </c>
      <c r="E65" s="11">
        <f>IFERROR(__xludf.DUMMYFUNCTION("""COMPUTED_VALUE"""),9940.0)</f>
        <v>9940</v>
      </c>
      <c r="F65" s="11">
        <f>IFERROR(__xludf.DUMMYFUNCTION("""COMPUTED_VALUE"""),11128.0)</f>
        <v>11128</v>
      </c>
      <c r="G65" s="11">
        <f>IFERROR(__xludf.DUMMYFUNCTION("""COMPUTED_VALUE"""),385.0)</f>
        <v>385</v>
      </c>
      <c r="H65" s="66"/>
      <c r="I65" s="11">
        <f>IFERROR(__xludf.DUMMYFUNCTION("""COMPUTED_VALUE"""),4300.0)</f>
        <v>4300</v>
      </c>
      <c r="J65" s="11">
        <f>IFERROR(__xludf.DUMMYFUNCTION("""COMPUTED_VALUE"""),9750.0)</f>
        <v>9750</v>
      </c>
      <c r="K65" s="11"/>
      <c r="L65" s="11"/>
      <c r="M65" s="11"/>
      <c r="N65" s="11"/>
      <c r="O65" s="24">
        <f>IFERROR(__xludf.DUMMYFUNCTION("""COMPUTED_VALUE"""),468044.0)</f>
        <v>468044</v>
      </c>
      <c r="P65" s="16">
        <f>IFERROR(__xludf.DUMMYFUNCTION("""COMPUTED_VALUE"""),0.0046142405438038435)</f>
        <v>0.004614240544</v>
      </c>
      <c r="Q65" s="16"/>
    </row>
    <row r="66" ht="15.75" customHeight="1">
      <c r="A66" s="48" t="str">
        <f>IFERROR(__xludf.DUMMYFUNCTION("""COMPUTED_VALUE"""),"新聞図書費")</f>
        <v>新聞図書費</v>
      </c>
      <c r="B66" s="67">
        <f>IFERROR(__xludf.DUMMYFUNCTION("""COMPUTED_VALUE"""),18107.0)</f>
        <v>18107</v>
      </c>
      <c r="C66" s="11">
        <f>IFERROR(__xludf.DUMMYFUNCTION("""COMPUTED_VALUE"""),15349.0)</f>
        <v>15349</v>
      </c>
      <c r="D66" s="11"/>
      <c r="E66" s="11">
        <f>IFERROR(__xludf.DUMMYFUNCTION("""COMPUTED_VALUE"""),7138.0)</f>
        <v>7138</v>
      </c>
      <c r="F66" s="11">
        <f>IFERROR(__xludf.DUMMYFUNCTION("""COMPUTED_VALUE"""),0.0)</f>
        <v>0</v>
      </c>
      <c r="G66" s="11">
        <f>IFERROR(__xludf.DUMMYFUNCTION("""COMPUTED_VALUE"""),0.0)</f>
        <v>0</v>
      </c>
      <c r="H66" s="66"/>
      <c r="I66" s="11">
        <f>IFERROR(__xludf.DUMMYFUNCTION("""COMPUTED_VALUE"""),0.0)</f>
        <v>0</v>
      </c>
      <c r="J66" s="11">
        <f>IFERROR(__xludf.DUMMYFUNCTION("""COMPUTED_VALUE"""),0.0)</f>
        <v>0</v>
      </c>
      <c r="K66" s="11"/>
      <c r="L66" s="11"/>
      <c r="M66" s="11"/>
      <c r="N66" s="11"/>
      <c r="O66" s="24">
        <f>IFERROR(__xludf.DUMMYFUNCTION("""COMPUTED_VALUE"""),40594.0)</f>
        <v>40594</v>
      </c>
      <c r="P66" s="16">
        <f>IFERROR(__xludf.DUMMYFUNCTION("""COMPUTED_VALUE"""),4.0019844423851863E-4)</f>
        <v>0.0004001984442</v>
      </c>
      <c r="Q66" s="16"/>
    </row>
    <row r="67" ht="15.75" customHeight="1">
      <c r="A67" s="48" t="str">
        <f>IFERROR(__xludf.DUMMYFUNCTION("""COMPUTED_VALUE"""),"保険料")</f>
        <v>保険料</v>
      </c>
      <c r="B67" s="70"/>
      <c r="C67" s="11"/>
      <c r="D67" s="11"/>
      <c r="E67" s="11">
        <f>IFERROR(__xludf.DUMMYFUNCTION("""COMPUTED_VALUE"""),0.0)</f>
        <v>0</v>
      </c>
      <c r="F67" s="11">
        <f>IFERROR(__xludf.DUMMYFUNCTION("""COMPUTED_VALUE"""),0.0)</f>
        <v>0</v>
      </c>
      <c r="G67" s="11">
        <f>IFERROR(__xludf.DUMMYFUNCTION("""COMPUTED_VALUE"""),17000.0)</f>
        <v>17000</v>
      </c>
      <c r="H67" s="66"/>
      <c r="I67" s="11">
        <f>IFERROR(__xludf.DUMMYFUNCTION("""COMPUTED_VALUE"""),0.0)</f>
        <v>0</v>
      </c>
      <c r="J67" s="11">
        <f>IFERROR(__xludf.DUMMYFUNCTION("""COMPUTED_VALUE"""),0.0)</f>
        <v>0</v>
      </c>
      <c r="K67" s="11"/>
      <c r="L67" s="11"/>
      <c r="M67" s="11"/>
      <c r="N67" s="11"/>
      <c r="O67" s="24">
        <f>IFERROR(__xludf.DUMMYFUNCTION("""COMPUTED_VALUE"""),17000.0)</f>
        <v>17000</v>
      </c>
      <c r="P67" s="16">
        <f>IFERROR(__xludf.DUMMYFUNCTION("""COMPUTED_VALUE"""),1.6759554495873323E-4)</f>
        <v>0.000167595545</v>
      </c>
      <c r="Q67" s="16"/>
    </row>
    <row r="68" ht="15.75" customHeight="1">
      <c r="A68" s="48" t="str">
        <f>IFERROR(__xludf.DUMMYFUNCTION("""COMPUTED_VALUE"""),"修繕費")</f>
        <v>修繕費</v>
      </c>
      <c r="B68" s="62"/>
      <c r="C68" s="11"/>
      <c r="D68" s="11"/>
      <c r="E68" s="11">
        <f>IFERROR(__xludf.DUMMYFUNCTION("""COMPUTED_VALUE"""),0.0)</f>
        <v>0</v>
      </c>
      <c r="F68" s="11">
        <f>IFERROR(__xludf.DUMMYFUNCTION("""COMPUTED_VALUE"""),0.0)</f>
        <v>0</v>
      </c>
      <c r="G68" s="11">
        <f>IFERROR(__xludf.DUMMYFUNCTION("""COMPUTED_VALUE"""),0.0)</f>
        <v>0</v>
      </c>
      <c r="H68" s="66"/>
      <c r="I68" s="11">
        <f>IFERROR(__xludf.DUMMYFUNCTION("""COMPUTED_VALUE"""),0.0)</f>
        <v>0</v>
      </c>
      <c r="J68" s="11">
        <f>IFERROR(__xludf.DUMMYFUNCTION("""COMPUTED_VALUE"""),0.0)</f>
        <v>0</v>
      </c>
      <c r="K68" s="11"/>
      <c r="L68" s="11"/>
      <c r="M68" s="11"/>
      <c r="N68" s="11"/>
      <c r="O68" s="24">
        <f>IFERROR(__xludf.DUMMYFUNCTION("""COMPUTED_VALUE"""),0.0)</f>
        <v>0</v>
      </c>
      <c r="P68" s="16">
        <f>IFERROR(__xludf.DUMMYFUNCTION("""COMPUTED_VALUE"""),0.0)</f>
        <v>0</v>
      </c>
      <c r="Q68" s="16"/>
    </row>
    <row r="69" ht="15.75" customHeight="1">
      <c r="A69" s="48" t="str">
        <f>IFERROR(__xludf.DUMMYFUNCTION("""COMPUTED_VALUE"""),"地代家賃")</f>
        <v>地代家賃</v>
      </c>
      <c r="B69" s="67">
        <f>IFERROR(__xludf.DUMMYFUNCTION("""COMPUTED_VALUE"""),71280.0)</f>
        <v>71280</v>
      </c>
      <c r="C69" s="11"/>
      <c r="D69" s="11"/>
      <c r="E69" s="11">
        <f>IFERROR(__xludf.DUMMYFUNCTION("""COMPUTED_VALUE"""),69300.0)</f>
        <v>69300</v>
      </c>
      <c r="F69" s="11">
        <f>IFERROR(__xludf.DUMMYFUNCTION("""COMPUTED_VALUE"""),0.0)</f>
        <v>0</v>
      </c>
      <c r="G69" s="11">
        <f>IFERROR(__xludf.DUMMYFUNCTION("""COMPUTED_VALUE"""),0.0)</f>
        <v>0</v>
      </c>
      <c r="H69" s="66"/>
      <c r="I69" s="11">
        <f>IFERROR(__xludf.DUMMYFUNCTION("""COMPUTED_VALUE"""),0.0)</f>
        <v>0</v>
      </c>
      <c r="J69" s="11">
        <f>IFERROR(__xludf.DUMMYFUNCTION("""COMPUTED_VALUE"""),6930.0)</f>
        <v>6930</v>
      </c>
      <c r="K69" s="11"/>
      <c r="L69" s="11"/>
      <c r="M69" s="11"/>
      <c r="N69" s="11"/>
      <c r="O69" s="24">
        <f>IFERROR(__xludf.DUMMYFUNCTION("""COMPUTED_VALUE"""),147510.0)</f>
        <v>147510</v>
      </c>
      <c r="P69" s="16">
        <f>IFERROR(__xludf.DUMMYFUNCTION("""COMPUTED_VALUE"""),0.0014542364021683965)</f>
        <v>0.001454236402</v>
      </c>
      <c r="Q69" s="16"/>
    </row>
    <row r="70" ht="15.75" customHeight="1">
      <c r="A70" s="48" t="str">
        <f>IFERROR(__xludf.DUMMYFUNCTION("""COMPUTED_VALUE"""),"賃借料")</f>
        <v>賃借料</v>
      </c>
      <c r="B70" s="62"/>
      <c r="C70" s="11">
        <f>IFERROR(__xludf.DUMMYFUNCTION("""COMPUTED_VALUE"""),3300.0)</f>
        <v>3300</v>
      </c>
      <c r="D70" s="11">
        <f>IFERROR(__xludf.DUMMYFUNCTION("""COMPUTED_VALUE"""),72820.0)</f>
        <v>72820</v>
      </c>
      <c r="E70" s="11">
        <f>IFERROR(__xludf.DUMMYFUNCTION("""COMPUTED_VALUE"""),0.0)</f>
        <v>0</v>
      </c>
      <c r="F70" s="11">
        <f>IFERROR(__xludf.DUMMYFUNCTION("""COMPUTED_VALUE"""),3300.0)</f>
        <v>3300</v>
      </c>
      <c r="G70" s="11">
        <f>IFERROR(__xludf.DUMMYFUNCTION("""COMPUTED_VALUE"""),3300.0)</f>
        <v>3300</v>
      </c>
      <c r="H70" s="66"/>
      <c r="I70" s="11">
        <f>IFERROR(__xludf.DUMMYFUNCTION("""COMPUTED_VALUE"""),3300.0)</f>
        <v>3300</v>
      </c>
      <c r="J70" s="11">
        <f>IFERROR(__xludf.DUMMYFUNCTION("""COMPUTED_VALUE"""),3300.0)</f>
        <v>3300</v>
      </c>
      <c r="K70" s="11"/>
      <c r="L70" s="11"/>
      <c r="M70" s="11"/>
      <c r="N70" s="11"/>
      <c r="O70" s="24">
        <f>IFERROR(__xludf.DUMMYFUNCTION("""COMPUTED_VALUE"""),89320.0)</f>
        <v>89320</v>
      </c>
      <c r="P70" s="16">
        <f>IFERROR(__xludf.DUMMYFUNCTION("""COMPUTED_VALUE"""),8.805667103361207E-4)</f>
        <v>0.0008805667103</v>
      </c>
      <c r="Q70" s="16"/>
    </row>
    <row r="71" ht="15.75" customHeight="1">
      <c r="A71" s="48" t="str">
        <f>IFERROR(__xludf.DUMMYFUNCTION("""COMPUTED_VALUE"""),"法定福利費")</f>
        <v>法定福利費</v>
      </c>
      <c r="B71" s="62"/>
      <c r="C71" s="11"/>
      <c r="D71" s="11"/>
      <c r="E71" s="11">
        <f>IFERROR(__xludf.DUMMYFUNCTION("""COMPUTED_VALUE"""),0.0)</f>
        <v>0</v>
      </c>
      <c r="F71" s="11">
        <f>IFERROR(__xludf.DUMMYFUNCTION("""COMPUTED_VALUE"""),0.0)</f>
        <v>0</v>
      </c>
      <c r="G71" s="11">
        <f>IFERROR(__xludf.DUMMYFUNCTION("""COMPUTED_VALUE"""),0.0)</f>
        <v>0</v>
      </c>
      <c r="H71" s="66"/>
      <c r="I71" s="11">
        <f>IFERROR(__xludf.DUMMYFUNCTION("""COMPUTED_VALUE"""),0.0)</f>
        <v>0</v>
      </c>
      <c r="J71" s="11">
        <f>IFERROR(__xludf.DUMMYFUNCTION("""COMPUTED_VALUE"""),0.0)</f>
        <v>0</v>
      </c>
      <c r="K71" s="11"/>
      <c r="L71" s="11"/>
      <c r="M71" s="11"/>
      <c r="N71" s="11"/>
      <c r="O71" s="24">
        <f>IFERROR(__xludf.DUMMYFUNCTION("""COMPUTED_VALUE"""),0.0)</f>
        <v>0</v>
      </c>
      <c r="P71" s="16">
        <f>IFERROR(__xludf.DUMMYFUNCTION("""COMPUTED_VALUE"""),0.0)</f>
        <v>0</v>
      </c>
      <c r="Q71" s="16"/>
    </row>
    <row r="72" ht="15.75" customHeight="1">
      <c r="A72" s="48" t="str">
        <f>IFERROR(__xludf.DUMMYFUNCTION("""COMPUTED_VALUE"""),"福利厚生費")</f>
        <v>福利厚生費</v>
      </c>
      <c r="B72" s="70"/>
      <c r="C72" s="11"/>
      <c r="D72" s="11"/>
      <c r="E72" s="11">
        <f>IFERROR(__xludf.DUMMYFUNCTION("""COMPUTED_VALUE"""),0.0)</f>
        <v>0</v>
      </c>
      <c r="F72" s="11">
        <f>IFERROR(__xludf.DUMMYFUNCTION("""COMPUTED_VALUE"""),0.0)</f>
        <v>0</v>
      </c>
      <c r="G72" s="11">
        <f>IFERROR(__xludf.DUMMYFUNCTION("""COMPUTED_VALUE"""),0.0)</f>
        <v>0</v>
      </c>
      <c r="H72" s="66"/>
      <c r="I72" s="11">
        <f>IFERROR(__xludf.DUMMYFUNCTION("""COMPUTED_VALUE"""),0.0)</f>
        <v>0</v>
      </c>
      <c r="J72" s="11">
        <f>IFERROR(__xludf.DUMMYFUNCTION("""COMPUTED_VALUE"""),0.0)</f>
        <v>0</v>
      </c>
      <c r="K72" s="11"/>
      <c r="L72" s="11"/>
      <c r="M72" s="11"/>
      <c r="N72" s="11"/>
      <c r="O72" s="24">
        <f>IFERROR(__xludf.DUMMYFUNCTION("""COMPUTED_VALUE"""),0.0)</f>
        <v>0</v>
      </c>
      <c r="P72" s="16">
        <f>IFERROR(__xludf.DUMMYFUNCTION("""COMPUTED_VALUE"""),0.0)</f>
        <v>0</v>
      </c>
      <c r="Q72" s="16"/>
    </row>
    <row r="73" ht="15.75" customHeight="1">
      <c r="A73" s="48" t="str">
        <f>IFERROR(__xludf.DUMMYFUNCTION("""COMPUTED_VALUE"""),"租税公課")</f>
        <v>租税公課</v>
      </c>
      <c r="B73" s="70"/>
      <c r="C73" s="11"/>
      <c r="D73" s="11"/>
      <c r="E73" s="11">
        <f>IFERROR(__xludf.DUMMYFUNCTION("""COMPUTED_VALUE"""),0.0)</f>
        <v>0</v>
      </c>
      <c r="F73" s="11">
        <f>IFERROR(__xludf.DUMMYFUNCTION("""COMPUTED_VALUE"""),0.0)</f>
        <v>0</v>
      </c>
      <c r="G73" s="11">
        <f>IFERROR(__xludf.DUMMYFUNCTION("""COMPUTED_VALUE"""),0.0)</f>
        <v>0</v>
      </c>
      <c r="H73" s="66"/>
      <c r="I73" s="11">
        <f>IFERROR(__xludf.DUMMYFUNCTION("""COMPUTED_VALUE"""),0.0)</f>
        <v>0</v>
      </c>
      <c r="J73" s="11">
        <f>IFERROR(__xludf.DUMMYFUNCTION("""COMPUTED_VALUE"""),0.0)</f>
        <v>0</v>
      </c>
      <c r="K73" s="11"/>
      <c r="L73" s="11"/>
      <c r="M73" s="11"/>
      <c r="N73" s="11"/>
      <c r="O73" s="24">
        <f>IFERROR(__xludf.DUMMYFUNCTION("""COMPUTED_VALUE"""),0.0)</f>
        <v>0</v>
      </c>
      <c r="P73" s="16">
        <f>IFERROR(__xludf.DUMMYFUNCTION("""COMPUTED_VALUE"""),0.0)</f>
        <v>0</v>
      </c>
      <c r="Q73" s="16"/>
    </row>
    <row r="74" ht="15.75" customHeight="1">
      <c r="A74" s="48" t="str">
        <f>IFERROR(__xludf.DUMMYFUNCTION("""COMPUTED_VALUE"""),"教務費")</f>
        <v>教務費</v>
      </c>
      <c r="B74" s="70"/>
      <c r="C74" s="11">
        <f>IFERROR(__xludf.DUMMYFUNCTION("""COMPUTED_VALUE"""),6600.0)</f>
        <v>6600</v>
      </c>
      <c r="D74" s="11"/>
      <c r="E74" s="11">
        <f>IFERROR(__xludf.DUMMYFUNCTION("""COMPUTED_VALUE"""),0.0)</f>
        <v>0</v>
      </c>
      <c r="F74" s="11">
        <f>IFERROR(__xludf.DUMMYFUNCTION("""COMPUTED_VALUE"""),0.0)</f>
        <v>0</v>
      </c>
      <c r="G74" s="11">
        <f>IFERROR(__xludf.DUMMYFUNCTION("""COMPUTED_VALUE"""),0.0)</f>
        <v>0</v>
      </c>
      <c r="H74" s="66"/>
      <c r="I74" s="11">
        <f>IFERROR(__xludf.DUMMYFUNCTION("""COMPUTED_VALUE"""),0.0)</f>
        <v>0</v>
      </c>
      <c r="J74" s="11">
        <f>IFERROR(__xludf.DUMMYFUNCTION("""COMPUTED_VALUE"""),0.0)</f>
        <v>0</v>
      </c>
      <c r="K74" s="11"/>
      <c r="L74" s="11"/>
      <c r="M74" s="11"/>
      <c r="N74" s="11"/>
      <c r="O74" s="24">
        <f>IFERROR(__xludf.DUMMYFUNCTION("""COMPUTED_VALUE"""),6600.0)</f>
        <v>6600</v>
      </c>
      <c r="P74" s="16">
        <f>IFERROR(__xludf.DUMMYFUNCTION("""COMPUTED_VALUE"""),6.506650568986114E-5)</f>
        <v>0.00006506650569</v>
      </c>
      <c r="Q74" s="16"/>
    </row>
    <row r="75" ht="15.75" customHeight="1">
      <c r="A75" s="48" t="str">
        <f>IFERROR(__xludf.DUMMYFUNCTION("""COMPUTED_VALUE"""),"顧問料（支払報酬料）")</f>
        <v>顧問料（支払報酬料）</v>
      </c>
      <c r="B75" s="70"/>
      <c r="C75" s="11"/>
      <c r="D75" s="11"/>
      <c r="E75" s="11">
        <f>IFERROR(__xludf.DUMMYFUNCTION("""COMPUTED_VALUE"""),0.0)</f>
        <v>0</v>
      </c>
      <c r="F75" s="11">
        <f>IFERROR(__xludf.DUMMYFUNCTION("""COMPUTED_VALUE"""),0.0)</f>
        <v>0</v>
      </c>
      <c r="G75" s="11">
        <f>IFERROR(__xludf.DUMMYFUNCTION("""COMPUTED_VALUE"""),0.0)</f>
        <v>0</v>
      </c>
      <c r="H75" s="66"/>
      <c r="I75" s="11">
        <f>IFERROR(__xludf.DUMMYFUNCTION("""COMPUTED_VALUE"""),0.0)</f>
        <v>0</v>
      </c>
      <c r="J75" s="11">
        <f>IFERROR(__xludf.DUMMYFUNCTION("""COMPUTED_VALUE"""),0.0)</f>
        <v>0</v>
      </c>
      <c r="K75" s="11"/>
      <c r="L75" s="11"/>
      <c r="M75" s="11"/>
      <c r="N75" s="11"/>
      <c r="O75" s="24">
        <f>IFERROR(__xludf.DUMMYFUNCTION("""COMPUTED_VALUE"""),0.0)</f>
        <v>0</v>
      </c>
      <c r="P75" s="16">
        <f>IFERROR(__xludf.DUMMYFUNCTION("""COMPUTED_VALUE"""),0.0)</f>
        <v>0</v>
      </c>
      <c r="Q75" s="16"/>
    </row>
    <row r="76" ht="15.75" customHeight="1">
      <c r="A76" s="48" t="str">
        <f>IFERROR(__xludf.DUMMYFUNCTION("""COMPUTED_VALUE"""),"諸会費")</f>
        <v>諸会費</v>
      </c>
      <c r="B76" s="67">
        <f>IFERROR(__xludf.DUMMYFUNCTION("""COMPUTED_VALUE"""),5500.0)</f>
        <v>5500</v>
      </c>
      <c r="C76" s="11"/>
      <c r="D76" s="11"/>
      <c r="E76" s="11">
        <f>IFERROR(__xludf.DUMMYFUNCTION("""COMPUTED_VALUE"""),5500.0)</f>
        <v>5500</v>
      </c>
      <c r="F76" s="11">
        <f>IFERROR(__xludf.DUMMYFUNCTION("""COMPUTED_VALUE"""),0.0)</f>
        <v>0</v>
      </c>
      <c r="G76" s="11">
        <f>IFERROR(__xludf.DUMMYFUNCTION("""COMPUTED_VALUE"""),0.0)</f>
        <v>0</v>
      </c>
      <c r="H76" s="66"/>
      <c r="I76" s="11">
        <f>IFERROR(__xludf.DUMMYFUNCTION("""COMPUTED_VALUE"""),0.0)</f>
        <v>0</v>
      </c>
      <c r="J76" s="11">
        <f>IFERROR(__xludf.DUMMYFUNCTION("""COMPUTED_VALUE"""),5500.0)</f>
        <v>5500</v>
      </c>
      <c r="K76" s="11"/>
      <c r="L76" s="11"/>
      <c r="M76" s="11"/>
      <c r="N76" s="11"/>
      <c r="O76" s="24">
        <f>IFERROR(__xludf.DUMMYFUNCTION("""COMPUTED_VALUE"""),16500.0)</f>
        <v>16500</v>
      </c>
      <c r="P76" s="16">
        <f>IFERROR(__xludf.DUMMYFUNCTION("""COMPUTED_VALUE"""),1.6266626422465285E-4)</f>
        <v>0.0001626662642</v>
      </c>
      <c r="Q76" s="16"/>
    </row>
    <row r="77" ht="15.75" customHeight="1">
      <c r="A77" s="54" t="str">
        <f>IFERROR(__xludf.DUMMYFUNCTION("""COMPUTED_VALUE"""),"給料手当（給与+賞与）")</f>
        <v>給料手当（給与+賞与）</v>
      </c>
      <c r="B77" s="46">
        <f>IFERROR(__xludf.DUMMYFUNCTION("""COMPUTED_VALUE"""),6098880.0)</f>
        <v>6098880</v>
      </c>
      <c r="C77" s="24">
        <f>IFERROR(__xludf.DUMMYFUNCTION("""COMPUTED_VALUE"""),5840888.0)</f>
        <v>5840888</v>
      </c>
      <c r="D77" s="24">
        <f>IFERROR(__xludf.DUMMYFUNCTION("""COMPUTED_VALUE"""),1.3163499E7)</f>
        <v>13163499</v>
      </c>
      <c r="E77" s="24">
        <f>IFERROR(__xludf.DUMMYFUNCTION("""COMPUTED_VALUE"""),5215279.0)</f>
        <v>5215279</v>
      </c>
      <c r="F77" s="24">
        <f>IFERROR(__xludf.DUMMYFUNCTION("""COMPUTED_VALUE"""),5257452.0)</f>
        <v>5257452</v>
      </c>
      <c r="G77" s="24">
        <f>IFERROR(__xludf.DUMMYFUNCTION("""COMPUTED_VALUE"""),5285446.0)</f>
        <v>5285446</v>
      </c>
      <c r="H77" s="24"/>
      <c r="I77" s="24">
        <f>IFERROR(__xludf.DUMMYFUNCTION("""COMPUTED_VALUE"""),5193496.0)</f>
        <v>5193496</v>
      </c>
      <c r="J77" s="24">
        <f>IFERROR(__xludf.DUMMYFUNCTION("""COMPUTED_VALUE"""),5363929.0)</f>
        <v>5363929</v>
      </c>
      <c r="K77" s="24">
        <f>IFERROR(__xludf.DUMMYFUNCTION("""COMPUTED_VALUE"""),0.0)</f>
        <v>0</v>
      </c>
      <c r="L77" s="24">
        <f>IFERROR(__xludf.DUMMYFUNCTION("""COMPUTED_VALUE"""),0.0)</f>
        <v>0</v>
      </c>
      <c r="M77" s="24">
        <f>IFERROR(__xludf.DUMMYFUNCTION("""COMPUTED_VALUE"""),0.0)</f>
        <v>0</v>
      </c>
      <c r="N77" s="24">
        <f>IFERROR(__xludf.DUMMYFUNCTION("""COMPUTED_VALUE"""),0.0)</f>
        <v>0</v>
      </c>
      <c r="O77" s="24">
        <f>IFERROR(__xludf.DUMMYFUNCTION("""COMPUTED_VALUE"""),5.1418869E7)</f>
        <v>51418869</v>
      </c>
      <c r="P77" s="16">
        <f>IFERROR(__xludf.DUMMYFUNCTION("""COMPUTED_VALUE"""),0.5069160806598068)</f>
        <v>0.5069160807</v>
      </c>
      <c r="Q77" s="16"/>
    </row>
    <row r="78" ht="15.75" customHeight="1">
      <c r="A78" s="51" t="str">
        <f>IFERROR(__xludf.DUMMYFUNCTION("""COMPUTED_VALUE"""),"正社員")</f>
        <v>正社員</v>
      </c>
      <c r="B78" s="62">
        <f>IFERROR(__xludf.DUMMYFUNCTION("""COMPUTED_VALUE"""),5717982.0)</f>
        <v>5717982</v>
      </c>
      <c r="C78" s="11">
        <f>IFERROR(__xludf.DUMMYFUNCTION("""COMPUTED_VALUE"""),5360010.0)</f>
        <v>5360010</v>
      </c>
      <c r="D78" s="11">
        <f>IFERROR(__xludf.DUMMYFUNCTION("""COMPUTED_VALUE"""),1.2699626E7)</f>
        <v>12699626</v>
      </c>
      <c r="E78" s="11">
        <f>IFERROR(__xludf.DUMMYFUNCTION("""COMPUTED_VALUE"""),4771579.0)</f>
        <v>4771579</v>
      </c>
      <c r="F78" s="11">
        <f>IFERROR(__xludf.DUMMYFUNCTION("""COMPUTED_VALUE"""),4794641.0)</f>
        <v>4794641</v>
      </c>
      <c r="G78" s="11">
        <f>IFERROR(__xludf.DUMMYFUNCTION("""COMPUTED_VALUE"""),4779383.0)</f>
        <v>4779383</v>
      </c>
      <c r="H78" s="66"/>
      <c r="I78" s="11">
        <f>IFERROR(__xludf.DUMMYFUNCTION("""COMPUTED_VALUE"""),4487459.0)</f>
        <v>4487459</v>
      </c>
      <c r="J78" s="11">
        <f>IFERROR(__xludf.DUMMYFUNCTION("""COMPUTED_VALUE"""),4490913.0)</f>
        <v>4490913</v>
      </c>
      <c r="K78" s="11"/>
      <c r="L78" s="11"/>
      <c r="M78" s="11"/>
      <c r="N78" s="11"/>
      <c r="O78" s="77">
        <f>IFERROR(__xludf.DUMMYFUNCTION("""COMPUTED_VALUE"""),4.7101593E7)</f>
        <v>47101593</v>
      </c>
      <c r="P78" s="78">
        <f>IFERROR(__xludf.DUMMYFUNCTION("""COMPUTED_VALUE"""),0.9160371263708659)</f>
        <v>0.9160371264</v>
      </c>
      <c r="Q78" s="16"/>
    </row>
    <row r="79" ht="15.75" customHeight="1">
      <c r="A79" s="51" t="str">
        <f>IFERROR(__xludf.DUMMYFUNCTION("""COMPUTED_VALUE"""),"学生スタッフ")</f>
        <v>学生スタッフ</v>
      </c>
      <c r="B79" s="62">
        <f>IFERROR(__xludf.DUMMYFUNCTION("""COMPUTED_VALUE"""),116025.0)</f>
        <v>116025</v>
      </c>
      <c r="C79" s="11">
        <f>IFERROR(__xludf.DUMMYFUNCTION("""COMPUTED_VALUE"""),120749.0)</f>
        <v>120749</v>
      </c>
      <c r="D79" s="11">
        <f>IFERROR(__xludf.DUMMYFUNCTION("""COMPUTED_VALUE"""),140449.0)</f>
        <v>140449</v>
      </c>
      <c r="E79" s="11">
        <f>IFERROR(__xludf.DUMMYFUNCTION("""COMPUTED_VALUE"""),107400.0)</f>
        <v>107400</v>
      </c>
      <c r="F79" s="11">
        <f>IFERROR(__xludf.DUMMYFUNCTION("""COMPUTED_VALUE"""),119087.0)</f>
        <v>119087</v>
      </c>
      <c r="G79" s="11">
        <f>IFERROR(__xludf.DUMMYFUNCTION("""COMPUTED_VALUE"""),88937.0)</f>
        <v>88937</v>
      </c>
      <c r="H79" s="66"/>
      <c r="I79" s="11">
        <f>IFERROR(__xludf.DUMMYFUNCTION("""COMPUTED_VALUE"""),118125.0)</f>
        <v>118125</v>
      </c>
      <c r="J79" s="11">
        <f>IFERROR(__xludf.DUMMYFUNCTION("""COMPUTED_VALUE"""),116850.0)</f>
        <v>116850</v>
      </c>
      <c r="K79" s="11"/>
      <c r="L79" s="11"/>
      <c r="M79" s="11"/>
      <c r="N79" s="11"/>
      <c r="O79" s="77">
        <f>IFERROR(__xludf.DUMMYFUNCTION("""COMPUTED_VALUE"""),927622.0)</f>
        <v>927622</v>
      </c>
      <c r="P79" s="78">
        <f>IFERROR(__xludf.DUMMYFUNCTION("""COMPUTED_VALUE"""),0.018040497934717313)</f>
        <v>0.01804049793</v>
      </c>
      <c r="Q79" s="16"/>
    </row>
    <row r="80" ht="15.75" customHeight="1">
      <c r="A80" s="51" t="str">
        <f>IFERROR(__xludf.DUMMYFUNCTION("""COMPUTED_VALUE"""),"アルバイトスタッフ")</f>
        <v>アルバイトスタッフ</v>
      </c>
      <c r="B80" s="62">
        <f>IFERROR(__xludf.DUMMYFUNCTION("""COMPUTED_VALUE"""),72750.0)</f>
        <v>72750</v>
      </c>
      <c r="C80" s="11">
        <f>IFERROR(__xludf.DUMMYFUNCTION("""COMPUTED_VALUE"""),159381.0)</f>
        <v>159381</v>
      </c>
      <c r="D80" s="11">
        <f>IFERROR(__xludf.DUMMYFUNCTION("""COMPUTED_VALUE"""),217125.0)</f>
        <v>217125</v>
      </c>
      <c r="E80" s="11">
        <f>IFERROR(__xludf.DUMMYFUNCTION("""COMPUTED_VALUE"""),193125.0)</f>
        <v>193125</v>
      </c>
      <c r="F80" s="11">
        <f>IFERROR(__xludf.DUMMYFUNCTION("""COMPUTED_VALUE"""),167625.0)</f>
        <v>167625</v>
      </c>
      <c r="G80" s="11">
        <f>IFERROR(__xludf.DUMMYFUNCTION("""COMPUTED_VALUE"""),227553.0)</f>
        <v>227553</v>
      </c>
      <c r="H80" s="66"/>
      <c r="I80" s="11">
        <f>IFERROR(__xludf.DUMMYFUNCTION("""COMPUTED_VALUE"""),349613.0)</f>
        <v>349613</v>
      </c>
      <c r="J80" s="11">
        <f>IFERROR(__xludf.DUMMYFUNCTION("""COMPUTED_VALUE"""),373716.0)</f>
        <v>373716</v>
      </c>
      <c r="K80" s="11"/>
      <c r="L80" s="11"/>
      <c r="M80" s="11"/>
      <c r="N80" s="11"/>
      <c r="O80" s="77">
        <f>IFERROR(__xludf.DUMMYFUNCTION("""COMPUTED_VALUE"""),1760888.0)</f>
        <v>1760888</v>
      </c>
      <c r="P80" s="78">
        <f>IFERROR(__xludf.DUMMYFUNCTION("""COMPUTED_VALUE"""),0.03424594967267755)</f>
        <v>0.03424594967</v>
      </c>
      <c r="Q80" s="16"/>
    </row>
    <row r="81" ht="15.75" customHeight="1">
      <c r="A81" s="51" t="str">
        <f>IFERROR(__xludf.DUMMYFUNCTION("""COMPUTED_VALUE"""),"外注スタッフ")</f>
        <v>外注スタッフ</v>
      </c>
      <c r="B81" s="62">
        <f>IFERROR(__xludf.DUMMYFUNCTION("""COMPUTED_VALUE"""),192123.0)</f>
        <v>192123</v>
      </c>
      <c r="C81" s="11">
        <f>IFERROR(__xludf.DUMMYFUNCTION("""COMPUTED_VALUE"""),200748.0)</f>
        <v>200748</v>
      </c>
      <c r="D81" s="11">
        <f>IFERROR(__xludf.DUMMYFUNCTION("""COMPUTED_VALUE"""),106299.0)</f>
        <v>106299</v>
      </c>
      <c r="E81" s="11">
        <f>IFERROR(__xludf.DUMMYFUNCTION("""COMPUTED_VALUE"""),143175.0)</f>
        <v>143175</v>
      </c>
      <c r="F81" s="11">
        <f>IFERROR(__xludf.DUMMYFUNCTION("""COMPUTED_VALUE"""),176099.0)</f>
        <v>176099</v>
      </c>
      <c r="G81" s="11">
        <f>IFERROR(__xludf.DUMMYFUNCTION("""COMPUTED_VALUE"""),189573.0)</f>
        <v>189573</v>
      </c>
      <c r="H81" s="66"/>
      <c r="I81" s="11">
        <f>IFERROR(__xludf.DUMMYFUNCTION("""COMPUTED_VALUE"""),238299.0)</f>
        <v>238299</v>
      </c>
      <c r="J81" s="11">
        <f>IFERROR(__xludf.DUMMYFUNCTION("""COMPUTED_VALUE"""),382450.0)</f>
        <v>382450</v>
      </c>
      <c r="K81" s="11"/>
      <c r="L81" s="11"/>
      <c r="M81" s="11"/>
      <c r="N81" s="11"/>
      <c r="O81" s="77">
        <f>IFERROR(__xludf.DUMMYFUNCTION("""COMPUTED_VALUE"""),1628766.0)</f>
        <v>1628766</v>
      </c>
      <c r="P81" s="78">
        <f>IFERROR(__xludf.DUMMYFUNCTION("""COMPUTED_VALUE"""),0.031676426021739215)</f>
        <v>0.03167642602</v>
      </c>
      <c r="Q81" s="16"/>
    </row>
    <row r="82" ht="15.75" customHeight="1">
      <c r="A82" s="48" t="str">
        <f>IFERROR(__xludf.DUMMYFUNCTION("""COMPUTED_VALUE"""),"決算賞与引当")</f>
        <v>決算賞与引当</v>
      </c>
      <c r="B82" s="62"/>
      <c r="C82" s="11"/>
      <c r="D82" s="11"/>
      <c r="E82" s="11"/>
      <c r="F82" s="11"/>
      <c r="G82" s="11"/>
      <c r="H82" s="66"/>
      <c r="I82" s="11"/>
      <c r="J82" s="11"/>
      <c r="K82" s="11"/>
      <c r="L82" s="11"/>
      <c r="M82" s="11"/>
      <c r="N82" s="11"/>
      <c r="O82" s="24">
        <f>IFERROR(__xludf.DUMMYFUNCTION("""COMPUTED_VALUE"""),0.0)</f>
        <v>0</v>
      </c>
      <c r="P82" s="16">
        <f>IFERROR(__xludf.DUMMYFUNCTION("""COMPUTED_VALUE"""),0.0)</f>
        <v>0</v>
      </c>
      <c r="Q82" s="16"/>
    </row>
    <row r="83" ht="15.75" customHeight="1">
      <c r="A83" s="48" t="str">
        <f>IFERROR(__xludf.DUMMYFUNCTION("""COMPUTED_VALUE"""),"雑費")</f>
        <v>雑費</v>
      </c>
      <c r="B83" s="70"/>
      <c r="C83" s="11"/>
      <c r="D83" s="11">
        <f>IFERROR(__xludf.DUMMYFUNCTION("""COMPUTED_VALUE"""),1120.0)</f>
        <v>1120</v>
      </c>
      <c r="E83" s="11">
        <f>IFERROR(__xludf.DUMMYFUNCTION("""COMPUTED_VALUE"""),0.0)</f>
        <v>0</v>
      </c>
      <c r="F83" s="11">
        <f>IFERROR(__xludf.DUMMYFUNCTION("""COMPUTED_VALUE"""),0.0)</f>
        <v>0</v>
      </c>
      <c r="G83" s="11">
        <f>IFERROR(__xludf.DUMMYFUNCTION("""COMPUTED_VALUE"""),0.0)</f>
        <v>0</v>
      </c>
      <c r="H83" s="66"/>
      <c r="I83" s="11"/>
      <c r="J83" s="11">
        <f>IFERROR(__xludf.DUMMYFUNCTION("""COMPUTED_VALUE"""),0.0)</f>
        <v>0</v>
      </c>
      <c r="K83" s="11"/>
      <c r="L83" s="11"/>
      <c r="M83" s="11"/>
      <c r="N83" s="11"/>
      <c r="O83" s="24">
        <f>IFERROR(__xludf.DUMMYFUNCTION("""COMPUTED_VALUE"""),1120.0)</f>
        <v>1120</v>
      </c>
      <c r="P83" s="16">
        <f>IFERROR(__xludf.DUMMYFUNCTION("""COMPUTED_VALUE"""),1.1041588844340072E-5)</f>
        <v>0.00001104158884</v>
      </c>
      <c r="Q83" s="16"/>
    </row>
    <row r="84" ht="15.75" customHeight="1">
      <c r="A84" s="48" t="str">
        <f>IFERROR(__xludf.DUMMYFUNCTION("""COMPUTED_VALUE"""),"支払手数料")</f>
        <v>支払手数料</v>
      </c>
      <c r="B84" s="46">
        <f>IFERROR(__xludf.DUMMYFUNCTION("""COMPUTED_VALUE"""),0.0)</f>
        <v>0</v>
      </c>
      <c r="C84" s="24">
        <f>IFERROR(__xludf.DUMMYFUNCTION("""COMPUTED_VALUE"""),0.0)</f>
        <v>0</v>
      </c>
      <c r="D84" s="24">
        <f>IFERROR(__xludf.DUMMYFUNCTION("""COMPUTED_VALUE"""),0.0)</f>
        <v>0</v>
      </c>
      <c r="E84" s="24">
        <f>IFERROR(__xludf.DUMMYFUNCTION("""COMPUTED_VALUE"""),0.0)</f>
        <v>0</v>
      </c>
      <c r="F84" s="24">
        <f>IFERROR(__xludf.DUMMYFUNCTION("""COMPUTED_VALUE"""),0.0)</f>
        <v>0</v>
      </c>
      <c r="G84" s="24">
        <f>IFERROR(__xludf.DUMMYFUNCTION("""COMPUTED_VALUE"""),0.0)</f>
        <v>0</v>
      </c>
      <c r="H84" s="66"/>
      <c r="I84" s="24">
        <f>IFERROR(__xludf.DUMMYFUNCTION("""COMPUTED_VALUE"""),0.0)</f>
        <v>0</v>
      </c>
      <c r="J84" s="24">
        <f>IFERROR(__xludf.DUMMYFUNCTION("""COMPUTED_VALUE"""),2000.0)</f>
        <v>2000</v>
      </c>
      <c r="K84" s="24">
        <f>IFERROR(__xludf.DUMMYFUNCTION("""COMPUTED_VALUE"""),0.0)</f>
        <v>0</v>
      </c>
      <c r="L84" s="24">
        <f>IFERROR(__xludf.DUMMYFUNCTION("""COMPUTED_VALUE"""),0.0)</f>
        <v>0</v>
      </c>
      <c r="M84" s="24">
        <f>IFERROR(__xludf.DUMMYFUNCTION("""COMPUTED_VALUE"""),0.0)</f>
        <v>0</v>
      </c>
      <c r="N84" s="24">
        <f>IFERROR(__xludf.DUMMYFUNCTION("""COMPUTED_VALUE"""),0.0)</f>
        <v>0</v>
      </c>
      <c r="O84" s="24">
        <f>IFERROR(__xludf.DUMMYFUNCTION("""COMPUTED_VALUE"""),2000.0)</f>
        <v>2000</v>
      </c>
      <c r="P84" s="16">
        <f>IFERROR(__xludf.DUMMYFUNCTION("""COMPUTED_VALUE"""),1.9717122936321558E-5)</f>
        <v>0.00001971712294</v>
      </c>
      <c r="Q84" s="16"/>
    </row>
    <row r="85" ht="15.75" customHeight="1">
      <c r="A85" s="51" t="str">
        <f>IFERROR(__xludf.DUMMYFUNCTION("""COMPUTED_VALUE"""),"銀行振込手数料")</f>
        <v>銀行振込手数料</v>
      </c>
      <c r="B85" s="70"/>
      <c r="C85" s="11"/>
      <c r="D85" s="11"/>
      <c r="E85" s="11">
        <f>IFERROR(__xludf.DUMMYFUNCTION("""COMPUTED_VALUE"""),0.0)</f>
        <v>0</v>
      </c>
      <c r="F85" s="11">
        <f>IFERROR(__xludf.DUMMYFUNCTION("""COMPUTED_VALUE"""),0.0)</f>
        <v>0</v>
      </c>
      <c r="G85" s="11">
        <f>IFERROR(__xludf.DUMMYFUNCTION("""COMPUTED_VALUE"""),0.0)</f>
        <v>0</v>
      </c>
      <c r="H85" s="66"/>
      <c r="I85" s="11">
        <f>IFERROR(__xludf.DUMMYFUNCTION("""COMPUTED_VALUE"""),0.0)</f>
        <v>0</v>
      </c>
      <c r="J85" s="11">
        <f>IFERROR(__xludf.DUMMYFUNCTION("""COMPUTED_VALUE"""),2000.0)</f>
        <v>2000</v>
      </c>
      <c r="K85" s="11"/>
      <c r="L85" s="11"/>
      <c r="M85" s="11"/>
      <c r="N85" s="11"/>
      <c r="O85" s="77">
        <f>IFERROR(__xludf.DUMMYFUNCTION("""COMPUTED_VALUE"""),2000.0)</f>
        <v>2000</v>
      </c>
      <c r="P85" s="78">
        <f>IFERROR(__xludf.DUMMYFUNCTION("""COMPUTED_VALUE"""),1.0)</f>
        <v>1</v>
      </c>
      <c r="Q85" s="16"/>
    </row>
    <row r="86" ht="15.75" customHeight="1">
      <c r="A86" s="51" t="str">
        <f>IFERROR(__xludf.DUMMYFUNCTION("""COMPUTED_VALUE"""),"電話代行料")</f>
        <v>電話代行料</v>
      </c>
      <c r="B86" s="70"/>
      <c r="C86" s="11"/>
      <c r="D86" s="11"/>
      <c r="E86" s="11">
        <f>IFERROR(__xludf.DUMMYFUNCTION("""COMPUTED_VALUE"""),0.0)</f>
        <v>0</v>
      </c>
      <c r="F86" s="11">
        <f>IFERROR(__xludf.DUMMYFUNCTION("""COMPUTED_VALUE"""),0.0)</f>
        <v>0</v>
      </c>
      <c r="G86" s="11">
        <f>IFERROR(__xludf.DUMMYFUNCTION("""COMPUTED_VALUE"""),0.0)</f>
        <v>0</v>
      </c>
      <c r="H86" s="66"/>
      <c r="I86" s="11">
        <f>IFERROR(__xludf.DUMMYFUNCTION("""COMPUTED_VALUE"""),0.0)</f>
        <v>0</v>
      </c>
      <c r="J86" s="11">
        <f>IFERROR(__xludf.DUMMYFUNCTION("""COMPUTED_VALUE"""),0.0)</f>
        <v>0</v>
      </c>
      <c r="K86" s="11">
        <f>IFERROR(__xludf.DUMMYFUNCTION("""COMPUTED_VALUE"""),0.0)</f>
        <v>0</v>
      </c>
      <c r="L86" s="11">
        <f>IFERROR(__xludf.DUMMYFUNCTION("""COMPUTED_VALUE"""),0.0)</f>
        <v>0</v>
      </c>
      <c r="M86" s="11">
        <f>IFERROR(__xludf.DUMMYFUNCTION("""COMPUTED_VALUE"""),0.0)</f>
        <v>0</v>
      </c>
      <c r="N86" s="11">
        <f>IFERROR(__xludf.DUMMYFUNCTION("""COMPUTED_VALUE"""),0.0)</f>
        <v>0</v>
      </c>
      <c r="O86" s="77">
        <f>IFERROR(__xludf.DUMMYFUNCTION("""COMPUTED_VALUE"""),0.0)</f>
        <v>0</v>
      </c>
      <c r="P86" s="78">
        <f>IFERROR(__xludf.DUMMYFUNCTION("""COMPUTED_VALUE"""),0.0)</f>
        <v>0</v>
      </c>
      <c r="Q86" s="16"/>
    </row>
    <row r="87" ht="15.75" customHeight="1">
      <c r="A87" s="51" t="str">
        <f>IFERROR(__xludf.DUMMYFUNCTION("""COMPUTED_VALUE"""),"大学訪問")</f>
        <v>大学訪問</v>
      </c>
      <c r="B87" s="70"/>
      <c r="C87" s="11"/>
      <c r="D87" s="11"/>
      <c r="E87" s="11">
        <f>IFERROR(__xludf.DUMMYFUNCTION("""COMPUTED_VALUE"""),0.0)</f>
        <v>0</v>
      </c>
      <c r="F87" s="11">
        <f>IFERROR(__xludf.DUMMYFUNCTION("""COMPUTED_VALUE"""),0.0)</f>
        <v>0</v>
      </c>
      <c r="G87" s="11">
        <f>IFERROR(__xludf.DUMMYFUNCTION("""COMPUTED_VALUE"""),0.0)</f>
        <v>0</v>
      </c>
      <c r="H87" s="66"/>
      <c r="I87" s="11">
        <f>IFERROR(__xludf.DUMMYFUNCTION("""COMPUTED_VALUE"""),0.0)</f>
        <v>0</v>
      </c>
      <c r="J87" s="11">
        <f>IFERROR(__xludf.DUMMYFUNCTION("""COMPUTED_VALUE"""),0.0)</f>
        <v>0</v>
      </c>
      <c r="K87" s="11">
        <f>IFERROR(__xludf.DUMMYFUNCTION("""COMPUTED_VALUE"""),0.0)</f>
        <v>0</v>
      </c>
      <c r="L87" s="11">
        <f>IFERROR(__xludf.DUMMYFUNCTION("""COMPUTED_VALUE"""),0.0)</f>
        <v>0</v>
      </c>
      <c r="M87" s="11">
        <f>IFERROR(__xludf.DUMMYFUNCTION("""COMPUTED_VALUE"""),0.0)</f>
        <v>0</v>
      </c>
      <c r="N87" s="11">
        <f>IFERROR(__xludf.DUMMYFUNCTION("""COMPUTED_VALUE"""),0.0)</f>
        <v>0</v>
      </c>
      <c r="O87" s="77">
        <f>IFERROR(__xludf.DUMMYFUNCTION("""COMPUTED_VALUE"""),0.0)</f>
        <v>0</v>
      </c>
      <c r="P87" s="78">
        <f>IFERROR(__xludf.DUMMYFUNCTION("""COMPUTED_VALUE"""),0.0)</f>
        <v>0</v>
      </c>
      <c r="Q87" s="16"/>
    </row>
    <row r="88" ht="15.75" customHeight="1">
      <c r="A88" s="51" t="str">
        <f>IFERROR(__xludf.DUMMYFUNCTION("""COMPUTED_VALUE"""),"その他")</f>
        <v>その他</v>
      </c>
      <c r="B88" s="70"/>
      <c r="C88" s="11"/>
      <c r="D88" s="11"/>
      <c r="E88" s="11">
        <f>IFERROR(__xludf.DUMMYFUNCTION("""COMPUTED_VALUE"""),0.0)</f>
        <v>0</v>
      </c>
      <c r="F88" s="11">
        <f>IFERROR(__xludf.DUMMYFUNCTION("""COMPUTED_VALUE"""),0.0)</f>
        <v>0</v>
      </c>
      <c r="G88" s="11">
        <f>IFERROR(__xludf.DUMMYFUNCTION("""COMPUTED_VALUE"""),0.0)</f>
        <v>0</v>
      </c>
      <c r="H88" s="66"/>
      <c r="I88" s="11">
        <f>IFERROR(__xludf.DUMMYFUNCTION("""COMPUTED_VALUE"""),0.0)</f>
        <v>0</v>
      </c>
      <c r="J88" s="11">
        <f>IFERROR(__xludf.DUMMYFUNCTION("""COMPUTED_VALUE"""),0.0)</f>
        <v>0</v>
      </c>
      <c r="K88" s="11">
        <f>IFERROR(__xludf.DUMMYFUNCTION("""COMPUTED_VALUE"""),0.0)</f>
        <v>0</v>
      </c>
      <c r="L88" s="11">
        <f>IFERROR(__xludf.DUMMYFUNCTION("""COMPUTED_VALUE"""),0.0)</f>
        <v>0</v>
      </c>
      <c r="M88" s="11">
        <f>IFERROR(__xludf.DUMMYFUNCTION("""COMPUTED_VALUE"""),0.0)</f>
        <v>0</v>
      </c>
      <c r="N88" s="11">
        <f>IFERROR(__xludf.DUMMYFUNCTION("""COMPUTED_VALUE"""),0.0)</f>
        <v>0</v>
      </c>
      <c r="O88" s="77">
        <f>IFERROR(__xludf.DUMMYFUNCTION("""COMPUTED_VALUE"""),0.0)</f>
        <v>0</v>
      </c>
      <c r="P88" s="78">
        <f>IFERROR(__xludf.DUMMYFUNCTION("""COMPUTED_VALUE"""),0.0)</f>
        <v>0</v>
      </c>
      <c r="Q88" s="16"/>
    </row>
    <row r="89" ht="15.75" customHeight="1">
      <c r="A89" s="48" t="str">
        <f>IFERROR(__xludf.DUMMYFUNCTION("""COMPUTED_VALUE"""),"外注費")</f>
        <v>外注費</v>
      </c>
      <c r="B89" s="46">
        <f>IFERROR(__xludf.DUMMYFUNCTION("""COMPUTED_VALUE"""),2350700.0)</f>
        <v>2350700</v>
      </c>
      <c r="C89" s="24">
        <f>IFERROR(__xludf.DUMMYFUNCTION("""COMPUTED_VALUE"""),2068840.0)</f>
        <v>2068840</v>
      </c>
      <c r="D89" s="24">
        <f>IFERROR(__xludf.DUMMYFUNCTION("""COMPUTED_VALUE"""),1849185.0)</f>
        <v>1849185</v>
      </c>
      <c r="E89" s="24">
        <f>IFERROR(__xludf.DUMMYFUNCTION("""COMPUTED_VALUE"""),1927695.0)</f>
        <v>1927695</v>
      </c>
      <c r="F89" s="24">
        <f>IFERROR(__xludf.DUMMYFUNCTION("""COMPUTED_VALUE"""),1889112.0)</f>
        <v>1889112</v>
      </c>
      <c r="G89" s="24">
        <f>IFERROR(__xludf.DUMMYFUNCTION("""COMPUTED_VALUE"""),3239110.0)</f>
        <v>3239110</v>
      </c>
      <c r="H89" s="24"/>
      <c r="I89" s="24">
        <f>IFERROR(__xludf.DUMMYFUNCTION("""COMPUTED_VALUE"""),2540075.0)</f>
        <v>2540075</v>
      </c>
      <c r="J89" s="24">
        <f>IFERROR(__xludf.DUMMYFUNCTION("""COMPUTED_VALUE"""),3470657.0)</f>
        <v>3470657</v>
      </c>
      <c r="K89" s="24">
        <f>IFERROR(__xludf.DUMMYFUNCTION("""COMPUTED_VALUE"""),0.0)</f>
        <v>0</v>
      </c>
      <c r="L89" s="24">
        <f>IFERROR(__xludf.DUMMYFUNCTION("""COMPUTED_VALUE"""),0.0)</f>
        <v>0</v>
      </c>
      <c r="M89" s="24">
        <f>IFERROR(__xludf.DUMMYFUNCTION("""COMPUTED_VALUE"""),0.0)</f>
        <v>0</v>
      </c>
      <c r="N89" s="24">
        <f>IFERROR(__xludf.DUMMYFUNCTION("""COMPUTED_VALUE"""),0.0)</f>
        <v>0</v>
      </c>
      <c r="O89" s="24">
        <f>IFERROR(__xludf.DUMMYFUNCTION("""COMPUTED_VALUE"""),1.9335374E7)</f>
        <v>19335374</v>
      </c>
      <c r="P89" s="16">
        <f>IFERROR(__xludf.DUMMYFUNCTION("""COMPUTED_VALUE"""),0.19061897308887774)</f>
        <v>0.1906189731</v>
      </c>
      <c r="Q89" s="16"/>
    </row>
    <row r="90" ht="15.75" customHeight="1">
      <c r="A90" s="51" t="str">
        <f>IFERROR(__xludf.DUMMYFUNCTION("""COMPUTED_VALUE"""),"代理店手数料")</f>
        <v>代理店手数料</v>
      </c>
      <c r="B90" s="70"/>
      <c r="C90" s="11"/>
      <c r="D90" s="11"/>
      <c r="E90" s="11">
        <f>IFERROR(__xludf.DUMMYFUNCTION("""COMPUTED_VALUE"""),0.0)</f>
        <v>0</v>
      </c>
      <c r="F90" s="11">
        <f>IFERROR(__xludf.DUMMYFUNCTION("""COMPUTED_VALUE"""),0.0)</f>
        <v>0</v>
      </c>
      <c r="G90" s="11">
        <f>IFERROR(__xludf.DUMMYFUNCTION("""COMPUTED_VALUE"""),0.0)</f>
        <v>0</v>
      </c>
      <c r="H90" s="66"/>
      <c r="I90" s="11">
        <f>IFERROR(__xludf.DUMMYFUNCTION("""COMPUTED_VALUE"""),0.0)</f>
        <v>0</v>
      </c>
      <c r="J90" s="11">
        <f>IFERROR(__xludf.DUMMYFUNCTION("""COMPUTED_VALUE"""),0.0)</f>
        <v>0</v>
      </c>
      <c r="K90" s="11"/>
      <c r="L90" s="11"/>
      <c r="M90" s="11"/>
      <c r="N90" s="11"/>
      <c r="O90" s="77">
        <f>IFERROR(__xludf.DUMMYFUNCTION("""COMPUTED_VALUE"""),0.0)</f>
        <v>0</v>
      </c>
      <c r="P90" s="78">
        <f>IFERROR(__xludf.DUMMYFUNCTION("""COMPUTED_VALUE"""),0.0)</f>
        <v>0</v>
      </c>
      <c r="Q90" s="16"/>
    </row>
    <row r="91" ht="15.75" customHeight="1">
      <c r="A91" s="51" t="str">
        <f>IFERROR(__xludf.DUMMYFUNCTION("""COMPUTED_VALUE"""),"その他")</f>
        <v>その他</v>
      </c>
      <c r="B91" s="67">
        <f>IFERROR(__xludf.DUMMYFUNCTION("""COMPUTED_VALUE"""),2350700.0)</f>
        <v>2350700</v>
      </c>
      <c r="C91" s="11">
        <f>IFERROR(__xludf.DUMMYFUNCTION("""COMPUTED_VALUE"""),2068840.0)</f>
        <v>2068840</v>
      </c>
      <c r="D91" s="11">
        <f>IFERROR(__xludf.DUMMYFUNCTION("""COMPUTED_VALUE"""),1849185.0)</f>
        <v>1849185</v>
      </c>
      <c r="E91" s="11">
        <f>IFERROR(__xludf.DUMMYFUNCTION("""COMPUTED_VALUE"""),1927695.0)</f>
        <v>1927695</v>
      </c>
      <c r="F91" s="11">
        <f>IFERROR(__xludf.DUMMYFUNCTION("""COMPUTED_VALUE"""),1889112.0)</f>
        <v>1889112</v>
      </c>
      <c r="G91" s="11">
        <f>IFERROR(__xludf.DUMMYFUNCTION("""COMPUTED_VALUE"""),3239110.0)</f>
        <v>3239110</v>
      </c>
      <c r="H91" s="66"/>
      <c r="I91" s="11">
        <f>IFERROR(__xludf.DUMMYFUNCTION("""COMPUTED_VALUE"""),2540075.0)</f>
        <v>2540075</v>
      </c>
      <c r="J91" s="11">
        <f>IFERROR(__xludf.DUMMYFUNCTION("""COMPUTED_VALUE"""),3470657.0)</f>
        <v>3470657</v>
      </c>
      <c r="K91" s="11"/>
      <c r="L91" s="11"/>
      <c r="M91" s="11"/>
      <c r="N91" s="11"/>
      <c r="O91" s="77">
        <f>IFERROR(__xludf.DUMMYFUNCTION("""COMPUTED_VALUE"""),1.9335374E7)</f>
        <v>19335374</v>
      </c>
      <c r="P91" s="78">
        <f>IFERROR(__xludf.DUMMYFUNCTION("""COMPUTED_VALUE"""),1.0)</f>
        <v>1</v>
      </c>
      <c r="Q91" s="16"/>
    </row>
    <row r="92" ht="15.75" customHeight="1">
      <c r="A92" s="48" t="str">
        <f>IFERROR(__xludf.DUMMYFUNCTION("""COMPUTED_VALUE"""),"制作費")</f>
        <v>制作費</v>
      </c>
      <c r="B92" s="70"/>
      <c r="C92" s="11">
        <f>IFERROR(__xludf.DUMMYFUNCTION("""COMPUTED_VALUE"""),444859.0)</f>
        <v>444859</v>
      </c>
      <c r="D92" s="11">
        <f>IFERROR(__xludf.DUMMYFUNCTION("""COMPUTED_VALUE"""),1540.0)</f>
        <v>1540</v>
      </c>
      <c r="E92" s="11">
        <f>IFERROR(__xludf.DUMMYFUNCTION("""COMPUTED_VALUE"""),40484.0)</f>
        <v>40484</v>
      </c>
      <c r="F92" s="11">
        <f>IFERROR(__xludf.DUMMYFUNCTION("""COMPUTED_VALUE"""),1693369.0)</f>
        <v>1693369</v>
      </c>
      <c r="G92" s="11">
        <f>IFERROR(__xludf.DUMMYFUNCTION("""COMPUTED_VALUE"""),177569.0)</f>
        <v>177569</v>
      </c>
      <c r="H92" s="66"/>
      <c r="I92" s="11">
        <f>IFERROR(__xludf.DUMMYFUNCTION("""COMPUTED_VALUE"""),0.0)</f>
        <v>0</v>
      </c>
      <c r="J92" s="11">
        <f>IFERROR(__xludf.DUMMYFUNCTION("""COMPUTED_VALUE"""),0.0)</f>
        <v>0</v>
      </c>
      <c r="K92" s="11"/>
      <c r="L92" s="11"/>
      <c r="M92" s="11"/>
      <c r="N92" s="11"/>
      <c r="O92" s="24">
        <f>IFERROR(__xludf.DUMMYFUNCTION("""COMPUTED_VALUE"""),2357821.0)</f>
        <v>2357821</v>
      </c>
      <c r="P92" s="16">
        <f>IFERROR(__xludf.DUMMYFUNCTION("""COMPUTED_VALUE"""),0.023244723259420317)</f>
        <v>0.02324472326</v>
      </c>
      <c r="Q92" s="16"/>
    </row>
    <row r="93" ht="15.75" customHeight="1">
      <c r="A93" s="48" t="str">
        <f>IFERROR(__xludf.DUMMYFUNCTION("""COMPUTED_VALUE"""),"販売促進費")</f>
        <v>販売促進費</v>
      </c>
      <c r="B93" s="67">
        <f>IFERROR(__xludf.DUMMYFUNCTION("""COMPUTED_VALUE"""),55894.0)</f>
        <v>55894</v>
      </c>
      <c r="C93" s="11">
        <f>IFERROR(__xludf.DUMMYFUNCTION("""COMPUTED_VALUE"""),340295.0)</f>
        <v>340295</v>
      </c>
      <c r="D93" s="11"/>
      <c r="E93" s="11">
        <f>IFERROR(__xludf.DUMMYFUNCTION("""COMPUTED_VALUE"""),30500.0)</f>
        <v>30500</v>
      </c>
      <c r="F93" s="11">
        <f>IFERROR(__xludf.DUMMYFUNCTION("""COMPUTED_VALUE"""),41000.0)</f>
        <v>41000</v>
      </c>
      <c r="G93" s="11">
        <f>IFERROR(__xludf.DUMMYFUNCTION("""COMPUTED_VALUE"""),5000.0)</f>
        <v>5000</v>
      </c>
      <c r="H93" s="66"/>
      <c r="I93" s="11">
        <f>IFERROR(__xludf.DUMMYFUNCTION("""COMPUTED_VALUE"""),0.0)</f>
        <v>0</v>
      </c>
      <c r="J93" s="11">
        <f>IFERROR(__xludf.DUMMYFUNCTION("""COMPUTED_VALUE"""),0.0)</f>
        <v>0</v>
      </c>
      <c r="K93" s="11"/>
      <c r="L93" s="11"/>
      <c r="M93" s="11"/>
      <c r="N93" s="11"/>
      <c r="O93" s="24">
        <f>IFERROR(__xludf.DUMMYFUNCTION("""COMPUTED_VALUE"""),472689.0)</f>
        <v>472689</v>
      </c>
      <c r="P93" s="16">
        <f>IFERROR(__xludf.DUMMYFUNCTION("""COMPUTED_VALUE"""),0.004660033561823451)</f>
        <v>0.004660033562</v>
      </c>
      <c r="Q93" s="16"/>
    </row>
    <row r="94" ht="15.75" customHeight="1">
      <c r="A94" s="48" t="str">
        <f>IFERROR(__xludf.DUMMYFUNCTION("""COMPUTED_VALUE"""),"減価償却費")</f>
        <v>減価償却費</v>
      </c>
      <c r="B94" s="55"/>
      <c r="C94" s="20"/>
      <c r="D94" s="20"/>
      <c r="E94" s="20"/>
      <c r="F94" s="20"/>
      <c r="G94" s="20"/>
      <c r="H94" s="66"/>
      <c r="I94" s="20"/>
      <c r="J94" s="20"/>
      <c r="K94" s="20"/>
      <c r="L94" s="20"/>
      <c r="M94" s="20"/>
      <c r="N94" s="20"/>
      <c r="O94" s="24">
        <f>IFERROR(__xludf.DUMMYFUNCTION("""COMPUTED_VALUE"""),0.0)</f>
        <v>0</v>
      </c>
      <c r="P94" s="16">
        <f>IFERROR(__xludf.DUMMYFUNCTION("""COMPUTED_VALUE"""),0.0)</f>
        <v>0</v>
      </c>
      <c r="Q94" s="16"/>
    </row>
    <row r="95" ht="15.75" customHeight="1">
      <c r="A95" s="48"/>
      <c r="B95" s="55"/>
      <c r="C95" s="20"/>
      <c r="D95" s="20"/>
      <c r="E95" s="20"/>
      <c r="F95" s="20"/>
      <c r="G95" s="20"/>
      <c r="H95" s="66"/>
      <c r="I95" s="20"/>
      <c r="J95" s="20"/>
      <c r="K95" s="20"/>
      <c r="L95" s="20"/>
      <c r="M95" s="20"/>
      <c r="N95" s="20"/>
      <c r="O95" s="79"/>
      <c r="P95" s="16"/>
      <c r="Q95" s="16"/>
    </row>
    <row r="96" ht="25.5" customHeight="1">
      <c r="A96" s="43" t="str">
        <f>IFERROR(__xludf.DUMMYFUNCTION("""COMPUTED_VALUE"""),"広告宣伝費/売上利益")</f>
        <v>広告宣伝費/売上利益</v>
      </c>
      <c r="B96" s="56">
        <f>IFERROR(__xludf.DUMMYFUNCTION("""COMPUTED_VALUE"""),0.004248812107921021)</f>
        <v>0.004248812108</v>
      </c>
      <c r="C96" s="22">
        <f>IFERROR(__xludf.DUMMYFUNCTION("""COMPUTED_VALUE"""),0.025046135854789306)</f>
        <v>0.02504613585</v>
      </c>
      <c r="D96" s="22">
        <f>IFERROR(__xludf.DUMMYFUNCTION("""COMPUTED_VALUE"""),0.013294051018091606)</f>
        <v>0.01329405102</v>
      </c>
      <c r="E96" s="22">
        <f>IFERROR(__xludf.DUMMYFUNCTION("""COMPUTED_VALUE"""),0.07151177855949159)</f>
        <v>0.07151177856</v>
      </c>
      <c r="F96" s="22">
        <f>IFERROR(__xludf.DUMMYFUNCTION("""COMPUTED_VALUE"""),0.027413666316187628)</f>
        <v>0.02741366632</v>
      </c>
      <c r="G96" s="22">
        <f>IFERROR(__xludf.DUMMYFUNCTION("""COMPUTED_VALUE"""),0.01940135568557195)</f>
        <v>0.01940135569</v>
      </c>
      <c r="H96" s="66"/>
      <c r="I96" s="22">
        <f>IFERROR(__xludf.DUMMYFUNCTION("""COMPUTED_VALUE"""),0.12585970316397413)</f>
        <v>0.1258597032</v>
      </c>
      <c r="J96" s="22">
        <f>IFERROR(__xludf.DUMMYFUNCTION("""COMPUTED_VALUE"""),0.3374938643314802)</f>
        <v>0.3374938643</v>
      </c>
      <c r="K96" s="22" t="str">
        <f>IFERROR(__xludf.DUMMYFUNCTION("""COMPUTED_VALUE"""),"")</f>
        <v/>
      </c>
      <c r="L96" s="22" t="str">
        <f>IFERROR(__xludf.DUMMYFUNCTION("""COMPUTED_VALUE"""),"")</f>
        <v/>
      </c>
      <c r="M96" s="22" t="str">
        <f>IFERROR(__xludf.DUMMYFUNCTION("""COMPUTED_VALUE"""),"")</f>
        <v/>
      </c>
      <c r="N96" s="22" t="str">
        <f>IFERROR(__xludf.DUMMYFUNCTION("""COMPUTED_VALUE"""),"")</f>
        <v/>
      </c>
      <c r="O96" s="22">
        <f>IFERROR(__xludf.DUMMYFUNCTION("""COMPUTED_VALUE"""),0.04463463893767297)</f>
        <v>0.04463463894</v>
      </c>
      <c r="P96" s="22"/>
      <c r="Q96" s="16"/>
    </row>
    <row r="97" ht="25.5" customHeight="1">
      <c r="A97" s="43" t="str">
        <f>IFERROR(__xludf.DUMMYFUNCTION("""COMPUTED_VALUE"""),"人件費/売上利益")</f>
        <v>人件費/売上利益</v>
      </c>
      <c r="B97" s="56">
        <f>IFERROR(__xludf.DUMMYFUNCTION("""COMPUTED_VALUE"""),0.6065776027330841)</f>
        <v>0.6065776027</v>
      </c>
      <c r="C97" s="22">
        <f>IFERROR(__xludf.DUMMYFUNCTION("""COMPUTED_VALUE"""),1.1514768106339277)</f>
        <v>1.151476811</v>
      </c>
      <c r="D97" s="22">
        <f>IFERROR(__xludf.DUMMYFUNCTION("""COMPUTED_VALUE"""),1.2257642088929208)</f>
        <v>1.225764209</v>
      </c>
      <c r="E97" s="22">
        <f>IFERROR(__xludf.DUMMYFUNCTION("""COMPUTED_VALUE"""),0.6000866886145885)</f>
        <v>0.6000866886</v>
      </c>
      <c r="F97" s="22">
        <f>IFERROR(__xludf.DUMMYFUNCTION("""COMPUTED_VALUE"""),0.6347319052670733)</f>
        <v>0.6347319053</v>
      </c>
      <c r="G97" s="22">
        <f>IFERROR(__xludf.DUMMYFUNCTION("""COMPUTED_VALUE"""),0.45790588588562053)</f>
        <v>0.4579058859</v>
      </c>
      <c r="H97" s="66"/>
      <c r="I97" s="22">
        <f>IFERROR(__xludf.DUMMYFUNCTION("""COMPUTED_VALUE"""),1.5043979087013561)</f>
        <v>1.504397909</v>
      </c>
      <c r="J97" s="22">
        <f>IFERROR(__xludf.DUMMYFUNCTION("""COMPUTED_VALUE"""),2.061787959752321)</f>
        <v>2.06178796</v>
      </c>
      <c r="K97" s="22" t="str">
        <f>IFERROR(__xludf.DUMMYFUNCTION("""COMPUTED_VALUE"""),"")</f>
        <v/>
      </c>
      <c r="L97" s="22" t="str">
        <f>IFERROR(__xludf.DUMMYFUNCTION("""COMPUTED_VALUE"""),"")</f>
        <v/>
      </c>
      <c r="M97" s="22" t="str">
        <f>IFERROR(__xludf.DUMMYFUNCTION("""COMPUTED_VALUE"""),"")</f>
        <v/>
      </c>
      <c r="N97" s="22" t="str">
        <f>IFERROR(__xludf.DUMMYFUNCTION("""COMPUTED_VALUE"""),"")</f>
        <v/>
      </c>
      <c r="O97" s="22" t="str">
        <f>IFERROR(__xludf.DUMMYFUNCTION("""COMPUTED_VALUE"""),"")</f>
        <v/>
      </c>
      <c r="P97" s="22"/>
      <c r="Q97" s="16"/>
    </row>
    <row r="98" ht="15.75" customHeight="1">
      <c r="A98" s="48" t="str">
        <f>IFERROR(__xludf.DUMMYFUNCTION("""COMPUTED_VALUE"""),"概算消費税")</f>
        <v>概算消費税</v>
      </c>
      <c r="B98" s="46">
        <f>IFERROR(__xludf.DUMMYFUNCTION("""COMPUTED_VALUE"""),348065.1818181818)</f>
        <v>348065.1818</v>
      </c>
      <c r="C98" s="24">
        <f>IFERROR(__xludf.DUMMYFUNCTION("""COMPUTED_VALUE"""),-188771.18181818182)</f>
        <v>-188771.1818</v>
      </c>
      <c r="D98" s="24">
        <f>IFERROR(__xludf.DUMMYFUNCTION("""COMPUTED_VALUE"""),474533.1818181818)</f>
        <v>474533.1818</v>
      </c>
      <c r="E98" s="24">
        <f>IFERROR(__xludf.DUMMYFUNCTION("""COMPUTED_VALUE"""),298757.0)</f>
        <v>298757</v>
      </c>
      <c r="F98" s="24">
        <f>IFERROR(__xludf.DUMMYFUNCTION("""COMPUTED_VALUE"""),155379.72727272726)</f>
        <v>155379.7273</v>
      </c>
      <c r="G98" s="24">
        <f>IFERROR(__xludf.DUMMYFUNCTION("""COMPUTED_VALUE"""),483404.9090909091)</f>
        <v>483404.9091</v>
      </c>
      <c r="H98" s="24"/>
      <c r="I98" s="24">
        <f>IFERROR(__xludf.DUMMYFUNCTION("""COMPUTED_VALUE"""),-154333.27272727274)</f>
        <v>-154333.2727</v>
      </c>
      <c r="J98" s="24">
        <f>IFERROR(__xludf.DUMMYFUNCTION("""COMPUTED_VALUE"""),-374978.36363636365)</f>
        <v>-374978.3636</v>
      </c>
      <c r="K98" s="24">
        <f>IFERROR(__xludf.DUMMYFUNCTION("""COMPUTED_VALUE"""),0.0)</f>
        <v>0</v>
      </c>
      <c r="L98" s="24">
        <f>IFERROR(__xludf.DUMMYFUNCTION("""COMPUTED_VALUE"""),0.0)</f>
        <v>0</v>
      </c>
      <c r="M98" s="24">
        <f>IFERROR(__xludf.DUMMYFUNCTION("""COMPUTED_VALUE"""),0.0)</f>
        <v>0</v>
      </c>
      <c r="N98" s="24">
        <f>IFERROR(__xludf.DUMMYFUNCTION("""COMPUTED_VALUE"""),0.0)</f>
        <v>0</v>
      </c>
      <c r="O98" s="24">
        <f>IFERROR(__xludf.DUMMYFUNCTION("""COMPUTED_VALUE"""),1042057.181818182)</f>
        <v>1042057.182</v>
      </c>
      <c r="P98" s="16"/>
      <c r="Q98" s="16"/>
    </row>
    <row r="99" ht="15.75" customHeight="1">
      <c r="A99" s="48"/>
      <c r="B99" s="46"/>
      <c r="C99" s="24"/>
      <c r="D99" s="24"/>
      <c r="E99" s="24"/>
      <c r="F99" s="24"/>
      <c r="G99" s="24"/>
      <c r="H99" s="66"/>
      <c r="I99" s="24"/>
      <c r="J99" s="24"/>
      <c r="K99" s="24"/>
      <c r="L99" s="24"/>
      <c r="M99" s="24"/>
      <c r="N99" s="24"/>
      <c r="O99" s="24"/>
      <c r="P99" s="16"/>
      <c r="Q99" s="16"/>
    </row>
    <row r="100" ht="28.5" customHeight="1">
      <c r="A100" s="43" t="str">
        <f>IFERROR(__xludf.DUMMYFUNCTION("""COMPUTED_VALUE"""),"営業利益")</f>
        <v>営業利益</v>
      </c>
      <c r="B100" s="44">
        <f>IFERROR(__xludf.DUMMYFUNCTION("""COMPUTED_VALUE"""),-2618228.1818181816)</f>
        <v>-2618228.182</v>
      </c>
      <c r="C100" s="80">
        <f>IFERROR(__xludf.DUMMYFUNCTION("""COMPUTED_VALUE"""),-7728599.818181818)</f>
        <v>-7728599.818</v>
      </c>
      <c r="D100" s="80">
        <f>IFERROR(__xludf.DUMMYFUNCTION("""COMPUTED_VALUE"""),-8418167.181818184)</f>
        <v>-8418167.182</v>
      </c>
      <c r="E100" s="80">
        <f>IFERROR(__xludf.DUMMYFUNCTION("""COMPUTED_VALUE"""),-2227709.0)</f>
        <v>-2227709</v>
      </c>
      <c r="F100" s="80">
        <f>IFERROR(__xludf.DUMMYFUNCTION("""COMPUTED_VALUE"""),-3703654.7272727266)</f>
        <v>-3703654.727</v>
      </c>
      <c r="G100" s="80">
        <f>IFERROR(__xludf.DUMMYFUNCTION("""COMPUTED_VALUE"""),-451396.90909090824)</f>
        <v>-451396.9091</v>
      </c>
      <c r="H100" s="66"/>
      <c r="I100" s="80">
        <f>IFERROR(__xludf.DUMMYFUNCTION("""COMPUTED_VALUE"""),-6736828.727272727)</f>
        <v>-6736828.727</v>
      </c>
      <c r="J100" s="80">
        <f>IFERROR(__xludf.DUMMYFUNCTION("""COMPUTED_VALUE"""),-9113712.636363637)</f>
        <v>-9113712.636</v>
      </c>
      <c r="K100" s="80">
        <f>IFERROR(__xludf.DUMMYFUNCTION("""COMPUTED_VALUE"""),0.0)</f>
        <v>0</v>
      </c>
      <c r="L100" s="80">
        <f>IFERROR(__xludf.DUMMYFUNCTION("""COMPUTED_VALUE"""),0.0)</f>
        <v>0</v>
      </c>
      <c r="M100" s="80">
        <f>IFERROR(__xludf.DUMMYFUNCTION("""COMPUTED_VALUE"""),0.0)</f>
        <v>0</v>
      </c>
      <c r="N100" s="80">
        <f>IFERROR(__xludf.DUMMYFUNCTION("""COMPUTED_VALUE"""),0.0)</f>
        <v>0</v>
      </c>
      <c r="O100" s="80">
        <f>IFERROR(__xludf.DUMMYFUNCTION("""COMPUTED_VALUE"""),-4.099829718181819E7)</f>
        <v>-40998297.18</v>
      </c>
      <c r="P100" s="22">
        <f>IFERROR(__xludf.DUMMYFUNCTION("""COMPUTED_VALUE"""),-0.5114811028491889)</f>
        <v>-0.5114811028</v>
      </c>
      <c r="Q100" s="16"/>
    </row>
    <row r="101" ht="15.75" customHeight="1">
      <c r="A101" s="54" t="str">
        <f>IFERROR(__xludf.DUMMYFUNCTION("""COMPUTED_VALUE"""),"営業外利益")</f>
        <v>営業外利益</v>
      </c>
      <c r="B101" s="46">
        <f>IFERROR(__xludf.DUMMYFUNCTION("""COMPUTED_VALUE"""),0.0)</f>
        <v>0</v>
      </c>
      <c r="C101" s="24">
        <f>IFERROR(__xludf.DUMMYFUNCTION("""COMPUTED_VALUE"""),0.0)</f>
        <v>0</v>
      </c>
      <c r="D101" s="24">
        <f>IFERROR(__xludf.DUMMYFUNCTION("""COMPUTED_VALUE"""),0.0)</f>
        <v>0</v>
      </c>
      <c r="E101" s="24">
        <f>IFERROR(__xludf.DUMMYFUNCTION("""COMPUTED_VALUE"""),0.0)</f>
        <v>0</v>
      </c>
      <c r="F101" s="24">
        <f>IFERROR(__xludf.DUMMYFUNCTION("""COMPUTED_VALUE"""),0.0)</f>
        <v>0</v>
      </c>
      <c r="G101" s="24">
        <f>IFERROR(__xludf.DUMMYFUNCTION("""COMPUTED_VALUE"""),0.0)</f>
        <v>0</v>
      </c>
      <c r="H101" s="66"/>
      <c r="I101" s="24">
        <f>IFERROR(__xludf.DUMMYFUNCTION("""COMPUTED_VALUE"""),0.0)</f>
        <v>0</v>
      </c>
      <c r="J101" s="24">
        <f>IFERROR(__xludf.DUMMYFUNCTION("""COMPUTED_VALUE"""),0.0)</f>
        <v>0</v>
      </c>
      <c r="K101" s="24">
        <f>IFERROR(__xludf.DUMMYFUNCTION("""COMPUTED_VALUE"""),0.0)</f>
        <v>0</v>
      </c>
      <c r="L101" s="24">
        <f>IFERROR(__xludf.DUMMYFUNCTION("""COMPUTED_VALUE"""),0.0)</f>
        <v>0</v>
      </c>
      <c r="M101" s="24">
        <f>IFERROR(__xludf.DUMMYFUNCTION("""COMPUTED_VALUE"""),0.0)</f>
        <v>0</v>
      </c>
      <c r="N101" s="24">
        <f>IFERROR(__xludf.DUMMYFUNCTION("""COMPUTED_VALUE"""),0.0)</f>
        <v>0</v>
      </c>
      <c r="O101" s="24">
        <f>IFERROR(__xludf.DUMMYFUNCTION("""COMPUTED_VALUE"""),0.0)</f>
        <v>0</v>
      </c>
      <c r="P101" s="16"/>
      <c r="Q101" s="16"/>
    </row>
    <row r="102" ht="15.75" customHeight="1">
      <c r="A102" s="51" t="str">
        <f>IFERROR(__xludf.DUMMYFUNCTION("""COMPUTED_VALUE"""),"受取利息")</f>
        <v>受取利息</v>
      </c>
      <c r="B102" s="68"/>
      <c r="C102" s="11"/>
      <c r="D102" s="11"/>
      <c r="E102" s="11"/>
      <c r="F102" s="11"/>
      <c r="G102" s="11"/>
      <c r="H102" s="66"/>
      <c r="I102" s="11"/>
      <c r="J102" s="11"/>
      <c r="K102" s="11"/>
      <c r="L102" s="11"/>
      <c r="M102" s="11"/>
      <c r="N102" s="11"/>
      <c r="O102" s="77">
        <f>IFERROR(__xludf.DUMMYFUNCTION("""COMPUTED_VALUE"""),0.0)</f>
        <v>0</v>
      </c>
      <c r="P102" s="78" t="str">
        <f>IFERROR(__xludf.DUMMYFUNCTION("""COMPUTED_VALUE"""),"")</f>
        <v/>
      </c>
      <c r="Q102" s="16"/>
    </row>
    <row r="103" ht="15.75" customHeight="1">
      <c r="A103" s="51" t="str">
        <f>IFERROR(__xludf.DUMMYFUNCTION("""COMPUTED_VALUE"""),"受取配当金")</f>
        <v>受取配当金</v>
      </c>
      <c r="B103" s="68"/>
      <c r="C103" s="11"/>
      <c r="D103" s="11"/>
      <c r="E103" s="11"/>
      <c r="F103" s="11"/>
      <c r="G103" s="11"/>
      <c r="H103" s="66"/>
      <c r="I103" s="11"/>
      <c r="J103" s="11"/>
      <c r="K103" s="11"/>
      <c r="L103" s="11"/>
      <c r="M103" s="11"/>
      <c r="N103" s="11"/>
      <c r="O103" s="77">
        <f>IFERROR(__xludf.DUMMYFUNCTION("""COMPUTED_VALUE"""),0.0)</f>
        <v>0</v>
      </c>
      <c r="P103" s="78" t="str">
        <f>IFERROR(__xludf.DUMMYFUNCTION("""COMPUTED_VALUE"""),"")</f>
        <v/>
      </c>
      <c r="Q103" s="16"/>
    </row>
    <row r="104" ht="15.75" customHeight="1">
      <c r="A104" s="51" t="str">
        <f>IFERROR(__xludf.DUMMYFUNCTION("""COMPUTED_VALUE"""),"雑収入")</f>
        <v>雑収入</v>
      </c>
      <c r="B104" s="68"/>
      <c r="C104" s="11"/>
      <c r="D104" s="11"/>
      <c r="E104" s="11"/>
      <c r="F104" s="11"/>
      <c r="G104" s="11"/>
      <c r="H104" s="66"/>
      <c r="I104" s="11"/>
      <c r="J104" s="11"/>
      <c r="K104" s="11"/>
      <c r="L104" s="11"/>
      <c r="M104" s="11"/>
      <c r="N104" s="11"/>
      <c r="O104" s="77">
        <f>IFERROR(__xludf.DUMMYFUNCTION("""COMPUTED_VALUE"""),0.0)</f>
        <v>0</v>
      </c>
      <c r="P104" s="78" t="str">
        <f>IFERROR(__xludf.DUMMYFUNCTION("""COMPUTED_VALUE"""),"")</f>
        <v/>
      </c>
      <c r="Q104" s="16"/>
    </row>
    <row r="105" ht="15.75" customHeight="1">
      <c r="A105" s="54" t="str">
        <f>IFERROR(__xludf.DUMMYFUNCTION("""COMPUTED_VALUE"""),"営業外費用")</f>
        <v>営業外費用</v>
      </c>
      <c r="B105" s="46">
        <f>IFERROR(__xludf.DUMMYFUNCTION("""COMPUTED_VALUE"""),0.0)</f>
        <v>0</v>
      </c>
      <c r="C105" s="24">
        <f>IFERROR(__xludf.DUMMYFUNCTION("""COMPUTED_VALUE"""),0.0)</f>
        <v>0</v>
      </c>
      <c r="D105" s="24">
        <f>IFERROR(__xludf.DUMMYFUNCTION("""COMPUTED_VALUE"""),0.0)</f>
        <v>0</v>
      </c>
      <c r="E105" s="24">
        <f>IFERROR(__xludf.DUMMYFUNCTION("""COMPUTED_VALUE"""),0.0)</f>
        <v>0</v>
      </c>
      <c r="F105" s="24">
        <f>IFERROR(__xludf.DUMMYFUNCTION("""COMPUTED_VALUE"""),0.0)</f>
        <v>0</v>
      </c>
      <c r="G105" s="24">
        <f>IFERROR(__xludf.DUMMYFUNCTION("""COMPUTED_VALUE"""),0.0)</f>
        <v>0</v>
      </c>
      <c r="H105" s="66"/>
      <c r="I105" s="24">
        <f>IFERROR(__xludf.DUMMYFUNCTION("""COMPUTED_VALUE"""),0.0)</f>
        <v>0</v>
      </c>
      <c r="J105" s="24">
        <f>IFERROR(__xludf.DUMMYFUNCTION("""COMPUTED_VALUE"""),0.0)</f>
        <v>0</v>
      </c>
      <c r="K105" s="24">
        <f>IFERROR(__xludf.DUMMYFUNCTION("""COMPUTED_VALUE"""),0.0)</f>
        <v>0</v>
      </c>
      <c r="L105" s="24">
        <f>IFERROR(__xludf.DUMMYFUNCTION("""COMPUTED_VALUE"""),0.0)</f>
        <v>0</v>
      </c>
      <c r="M105" s="24">
        <f>IFERROR(__xludf.DUMMYFUNCTION("""COMPUTED_VALUE"""),0.0)</f>
        <v>0</v>
      </c>
      <c r="N105" s="24">
        <f>IFERROR(__xludf.DUMMYFUNCTION("""COMPUTED_VALUE"""),0.0)</f>
        <v>0</v>
      </c>
      <c r="O105" s="24">
        <f>IFERROR(__xludf.DUMMYFUNCTION("""COMPUTED_VALUE"""),0.0)</f>
        <v>0</v>
      </c>
      <c r="P105" s="16"/>
      <c r="Q105" s="16"/>
    </row>
    <row r="106" ht="15.75" customHeight="1">
      <c r="A106" s="51" t="str">
        <f>IFERROR(__xludf.DUMMYFUNCTION("""COMPUTED_VALUE"""),"支払利息")</f>
        <v>支払利息</v>
      </c>
      <c r="B106" s="68"/>
      <c r="C106" s="11"/>
      <c r="D106" s="11"/>
      <c r="E106" s="11"/>
      <c r="F106" s="11"/>
      <c r="G106" s="11"/>
      <c r="H106" s="66"/>
      <c r="I106" s="11"/>
      <c r="J106" s="11">
        <f>IFERROR(__xludf.DUMMYFUNCTION("""COMPUTED_VALUE"""),0.0)</f>
        <v>0</v>
      </c>
      <c r="K106" s="11"/>
      <c r="L106" s="11"/>
      <c r="M106" s="11"/>
      <c r="N106" s="11"/>
      <c r="O106" s="77">
        <f>IFERROR(__xludf.DUMMYFUNCTION("""COMPUTED_VALUE"""),0.0)</f>
        <v>0</v>
      </c>
      <c r="P106" s="78" t="str">
        <f>IFERROR(__xludf.DUMMYFUNCTION("""COMPUTED_VALUE"""),"")</f>
        <v/>
      </c>
      <c r="Q106" s="16"/>
    </row>
    <row r="107" ht="15.75" customHeight="1">
      <c r="A107" s="51" t="str">
        <f>IFERROR(__xludf.DUMMYFUNCTION("""COMPUTED_VALUE"""),"雑損失")</f>
        <v>雑損失</v>
      </c>
      <c r="B107" s="68"/>
      <c r="C107" s="11"/>
      <c r="D107" s="11"/>
      <c r="E107" s="11"/>
      <c r="F107" s="11"/>
      <c r="G107" s="11"/>
      <c r="H107" s="66"/>
      <c r="I107" s="11"/>
      <c r="J107" s="11">
        <f>IFERROR(__xludf.DUMMYFUNCTION("""COMPUTED_VALUE"""),0.0)</f>
        <v>0</v>
      </c>
      <c r="K107" s="11"/>
      <c r="L107" s="11"/>
      <c r="M107" s="11"/>
      <c r="N107" s="11"/>
      <c r="O107" s="77">
        <f>IFERROR(__xludf.DUMMYFUNCTION("""COMPUTED_VALUE"""),0.0)</f>
        <v>0</v>
      </c>
      <c r="P107" s="78" t="str">
        <f>IFERROR(__xludf.DUMMYFUNCTION("""COMPUTED_VALUE"""),"")</f>
        <v/>
      </c>
      <c r="Q107" s="16"/>
    </row>
    <row r="108" ht="28.5" customHeight="1">
      <c r="A108" s="43" t="str">
        <f>IFERROR(__xludf.DUMMYFUNCTION("""COMPUTED_VALUE"""),"経常利益")</f>
        <v>経常利益</v>
      </c>
      <c r="B108" s="44">
        <f>IFERROR(__xludf.DUMMYFUNCTION("""COMPUTED_VALUE"""),-2618228.1818181816)</f>
        <v>-2618228.182</v>
      </c>
      <c r="C108" s="80">
        <f>IFERROR(__xludf.DUMMYFUNCTION("""COMPUTED_VALUE"""),-7728599.818181818)</f>
        <v>-7728599.818</v>
      </c>
      <c r="D108" s="80">
        <f>IFERROR(__xludf.DUMMYFUNCTION("""COMPUTED_VALUE"""),-8418167.181818184)</f>
        <v>-8418167.182</v>
      </c>
      <c r="E108" s="80">
        <f>IFERROR(__xludf.DUMMYFUNCTION("""COMPUTED_VALUE"""),-2227709.0)</f>
        <v>-2227709</v>
      </c>
      <c r="F108" s="80">
        <f>IFERROR(__xludf.DUMMYFUNCTION("""COMPUTED_VALUE"""),-3703654.7272727266)</f>
        <v>-3703654.727</v>
      </c>
      <c r="G108" s="80">
        <f>IFERROR(__xludf.DUMMYFUNCTION("""COMPUTED_VALUE"""),-451396.90909090824)</f>
        <v>-451396.9091</v>
      </c>
      <c r="H108" s="66"/>
      <c r="I108" s="80">
        <f>IFERROR(__xludf.DUMMYFUNCTION("""COMPUTED_VALUE"""),-6736828.727272727)</f>
        <v>-6736828.727</v>
      </c>
      <c r="J108" s="80">
        <f>IFERROR(__xludf.DUMMYFUNCTION("""COMPUTED_VALUE"""),-9113712.636363637)</f>
        <v>-9113712.636</v>
      </c>
      <c r="K108" s="80">
        <f>IFERROR(__xludf.DUMMYFUNCTION("""COMPUTED_VALUE"""),0.0)</f>
        <v>0</v>
      </c>
      <c r="L108" s="80">
        <f>IFERROR(__xludf.DUMMYFUNCTION("""COMPUTED_VALUE"""),0.0)</f>
        <v>0</v>
      </c>
      <c r="M108" s="80">
        <f>IFERROR(__xludf.DUMMYFUNCTION("""COMPUTED_VALUE"""),0.0)</f>
        <v>0</v>
      </c>
      <c r="N108" s="80">
        <f>IFERROR(__xludf.DUMMYFUNCTION("""COMPUTED_VALUE"""),0.0)</f>
        <v>0</v>
      </c>
      <c r="O108" s="80">
        <f>IFERROR(__xludf.DUMMYFUNCTION("""COMPUTED_VALUE"""),-4.099829718181819E7)</f>
        <v>-40998297.18</v>
      </c>
      <c r="P108" s="22">
        <f>IFERROR(__xludf.DUMMYFUNCTION("""COMPUTED_VALUE"""),-0.5114811028491889)</f>
        <v>-0.5114811028</v>
      </c>
      <c r="Q108" s="16"/>
    </row>
    <row r="109" ht="15.75" customHeight="1">
      <c r="A109" s="48" t="str">
        <f>IFERROR(__xludf.DUMMYFUNCTION("""COMPUTED_VALUE"""),"法人税及び住民税")</f>
        <v>法人税及び住民税</v>
      </c>
      <c r="B109" s="46">
        <f>IFERROR(__xludf.DUMMYFUNCTION("""COMPUTED_VALUE"""),-1047291.2727272727)</f>
        <v>-1047291.273</v>
      </c>
      <c r="C109" s="24">
        <f>IFERROR(__xludf.DUMMYFUNCTION("""COMPUTED_VALUE"""),-3091439.9272727277)</f>
        <v>-3091439.927</v>
      </c>
      <c r="D109" s="24">
        <f>IFERROR(__xludf.DUMMYFUNCTION("""COMPUTED_VALUE"""),-3367266.8727272735)</f>
        <v>-3367266.873</v>
      </c>
      <c r="E109" s="24">
        <f>IFERROR(__xludf.DUMMYFUNCTION("""COMPUTED_VALUE"""),-891083.6000000001)</f>
        <v>-891083.6</v>
      </c>
      <c r="F109" s="24">
        <f>IFERROR(__xludf.DUMMYFUNCTION("""COMPUTED_VALUE"""),-1481461.8909090906)</f>
        <v>-1481461.891</v>
      </c>
      <c r="G109" s="24">
        <f>IFERROR(__xludf.DUMMYFUNCTION("""COMPUTED_VALUE"""),-180558.76363636332)</f>
        <v>-180558.7636</v>
      </c>
      <c r="H109" s="66"/>
      <c r="I109" s="24">
        <f>IFERROR(__xludf.DUMMYFUNCTION("""COMPUTED_VALUE"""),-2694731.4909090907)</f>
        <v>-2694731.491</v>
      </c>
      <c r="J109" s="24">
        <f>IFERROR(__xludf.DUMMYFUNCTION("""COMPUTED_VALUE"""),-3645485.0545454547)</f>
        <v>-3645485.055</v>
      </c>
      <c r="K109" s="24">
        <f>IFERROR(__xludf.DUMMYFUNCTION("""COMPUTED_VALUE"""),0.0)</f>
        <v>0</v>
      </c>
      <c r="L109" s="24">
        <f>IFERROR(__xludf.DUMMYFUNCTION("""COMPUTED_VALUE"""),0.0)</f>
        <v>0</v>
      </c>
      <c r="M109" s="24">
        <f>IFERROR(__xludf.DUMMYFUNCTION("""COMPUTED_VALUE"""),0.0)</f>
        <v>0</v>
      </c>
      <c r="N109" s="24">
        <f>IFERROR(__xludf.DUMMYFUNCTION("""COMPUTED_VALUE"""),0.0)</f>
        <v>0</v>
      </c>
      <c r="O109" s="24">
        <f>IFERROR(__xludf.DUMMYFUNCTION("""COMPUTED_VALUE"""),-1.6399318872727273E7)</f>
        <v>-16399318.87</v>
      </c>
      <c r="P109" s="16"/>
      <c r="Q109" s="16"/>
    </row>
    <row r="110" ht="15.75" customHeight="1">
      <c r="A110" s="43" t="str">
        <f>IFERROR(__xludf.DUMMYFUNCTION("""COMPUTED_VALUE"""),"当期利益")</f>
        <v>当期利益</v>
      </c>
      <c r="B110" s="44">
        <f>IFERROR(__xludf.DUMMYFUNCTION("""COMPUTED_VALUE"""),-1570936.909090909)</f>
        <v>-1570936.909</v>
      </c>
      <c r="C110" s="80">
        <f>IFERROR(__xludf.DUMMYFUNCTION("""COMPUTED_VALUE"""),-4637159.890909091)</f>
        <v>-4637159.891</v>
      </c>
      <c r="D110" s="80">
        <f>IFERROR(__xludf.DUMMYFUNCTION("""COMPUTED_VALUE"""),-5050900.3090909105)</f>
        <v>-5050900.309</v>
      </c>
      <c r="E110" s="80">
        <f>IFERROR(__xludf.DUMMYFUNCTION("""COMPUTED_VALUE"""),-1336625.4)</f>
        <v>-1336625.4</v>
      </c>
      <c r="F110" s="80">
        <f>IFERROR(__xludf.DUMMYFUNCTION("""COMPUTED_VALUE"""),-2222192.836363636)</f>
        <v>-2222192.836</v>
      </c>
      <c r="G110" s="80">
        <f>IFERROR(__xludf.DUMMYFUNCTION("""COMPUTED_VALUE"""),-270838.1454545449)</f>
        <v>-270838.1455</v>
      </c>
      <c r="H110" s="66"/>
      <c r="I110" s="80">
        <f>IFERROR(__xludf.DUMMYFUNCTION("""COMPUTED_VALUE"""),-4042097.236363636)</f>
        <v>-4042097.236</v>
      </c>
      <c r="J110" s="80">
        <f>IFERROR(__xludf.DUMMYFUNCTION("""COMPUTED_VALUE"""),-5468227.581818182)</f>
        <v>-5468227.582</v>
      </c>
      <c r="K110" s="80">
        <f>IFERROR(__xludf.DUMMYFUNCTION("""COMPUTED_VALUE"""),0.0)</f>
        <v>0</v>
      </c>
      <c r="L110" s="80">
        <f>IFERROR(__xludf.DUMMYFUNCTION("""COMPUTED_VALUE"""),0.0)</f>
        <v>0</v>
      </c>
      <c r="M110" s="80">
        <f>IFERROR(__xludf.DUMMYFUNCTION("""COMPUTED_VALUE"""),0.0)</f>
        <v>0</v>
      </c>
      <c r="N110" s="80">
        <f>IFERROR(__xludf.DUMMYFUNCTION("""COMPUTED_VALUE"""),0.0)</f>
        <v>0</v>
      </c>
      <c r="O110" s="80">
        <f>IFERROR(__xludf.DUMMYFUNCTION("""COMPUTED_VALUE"""),-2.459897830909091E7)</f>
        <v>-24598978.31</v>
      </c>
      <c r="P110" s="22">
        <f>IFERROR(__xludf.DUMMYFUNCTION("""COMPUTED_VALUE"""),-0.3068886617095133)</f>
        <v>-0.3068886617</v>
      </c>
      <c r="Q110" s="16"/>
    </row>
    <row r="111" ht="15.75" customHeight="1">
      <c r="A111" s="48"/>
      <c r="B111" s="46"/>
      <c r="C111" s="24"/>
      <c r="D111" s="24"/>
      <c r="E111" s="24"/>
      <c r="F111" s="24"/>
      <c r="G111" s="24"/>
      <c r="H111" s="66"/>
      <c r="I111" s="24"/>
      <c r="J111" s="24"/>
      <c r="K111" s="24"/>
      <c r="L111" s="24"/>
      <c r="M111" s="24"/>
      <c r="N111" s="24"/>
      <c r="O111" s="24"/>
      <c r="P111" s="16"/>
      <c r="Q111" s="16"/>
    </row>
    <row r="112" ht="25.5" customHeight="1">
      <c r="A112" s="43" t="str">
        <f>IFERROR(__xludf.DUMMYFUNCTION("""COMPUTED_VALUE"""),"総合職1人あたり営業利益")</f>
        <v>総合職1人あたり営業利益</v>
      </c>
      <c r="B112" s="44">
        <f>IFERROR(__xludf.DUMMYFUNCTION("""COMPUTED_VALUE"""),-261822.81818181818)</f>
        <v>-261822.8182</v>
      </c>
      <c r="C112" s="80">
        <f>IFERROR(__xludf.DUMMYFUNCTION("""COMPUTED_VALUE"""),-772859.9818181818)</f>
        <v>-772859.9818</v>
      </c>
      <c r="D112" s="80">
        <f>IFERROR(__xludf.DUMMYFUNCTION("""COMPUTED_VALUE"""),-935351.9090909093)</f>
        <v>-935351.9091</v>
      </c>
      <c r="E112" s="80">
        <f>IFERROR(__xludf.DUMMYFUNCTION("""COMPUTED_VALUE"""),-247523.22222222222)</f>
        <v>-247523.2222</v>
      </c>
      <c r="F112" s="80">
        <f>IFERROR(__xludf.DUMMYFUNCTION("""COMPUTED_VALUE"""),-411517.19191919186)</f>
        <v>-411517.1919</v>
      </c>
      <c r="G112" s="80">
        <f>IFERROR(__xludf.DUMMYFUNCTION("""COMPUTED_VALUE"""),-50155.212121212026)</f>
        <v>-50155.21212</v>
      </c>
      <c r="H112" s="66"/>
      <c r="I112" s="80">
        <f>IFERROR(__xludf.DUMMYFUNCTION("""COMPUTED_VALUE"""),-748536.5252525252)</f>
        <v>-748536.5253</v>
      </c>
      <c r="J112" s="80">
        <f>IFERROR(__xludf.DUMMYFUNCTION("""COMPUTED_VALUE"""),-1012634.7373737374)</f>
        <v>-1012634.737</v>
      </c>
      <c r="K112" s="80" t="str">
        <f>IFERROR(__xludf.DUMMYFUNCTION("""COMPUTED_VALUE"""),"")</f>
        <v/>
      </c>
      <c r="L112" s="80" t="str">
        <f>IFERROR(__xludf.DUMMYFUNCTION("""COMPUTED_VALUE"""),"")</f>
        <v/>
      </c>
      <c r="M112" s="80" t="str">
        <f>IFERROR(__xludf.DUMMYFUNCTION("""COMPUTED_VALUE"""),"")</f>
        <v/>
      </c>
      <c r="N112" s="80" t="str">
        <f>IFERROR(__xludf.DUMMYFUNCTION("""COMPUTED_VALUE"""),"")</f>
        <v/>
      </c>
      <c r="O112" s="80">
        <f>IFERROR(__xludf.DUMMYFUNCTION("""COMPUTED_VALUE"""),-554031.0429975431)</f>
        <v>-554031.043</v>
      </c>
      <c r="P112" s="22"/>
      <c r="Q112" s="16"/>
    </row>
    <row r="113" ht="15.75" customHeight="1">
      <c r="A113" s="57" t="str">
        <f>IFERROR(__xludf.DUMMYFUNCTION("""COMPUTED_VALUE"""),"総合職")</f>
        <v>総合職</v>
      </c>
      <c r="B113" s="71">
        <f>IFERROR(__xludf.DUMMYFUNCTION("""COMPUTED_VALUE"""),10.0)</f>
        <v>10</v>
      </c>
      <c r="C113" s="81">
        <f>IFERROR(__xludf.DUMMYFUNCTION("""COMPUTED_VALUE"""),10.0)</f>
        <v>10</v>
      </c>
      <c r="D113" s="81">
        <f>IFERROR(__xludf.DUMMYFUNCTION("""COMPUTED_VALUE"""),9.0)</f>
        <v>9</v>
      </c>
      <c r="E113" s="81">
        <f>IFERROR(__xludf.DUMMYFUNCTION("""COMPUTED_VALUE"""),9.0)</f>
        <v>9</v>
      </c>
      <c r="F113" s="81">
        <f>IFERROR(__xludf.DUMMYFUNCTION("""COMPUTED_VALUE"""),9.0)</f>
        <v>9</v>
      </c>
      <c r="G113" s="81">
        <f>IFERROR(__xludf.DUMMYFUNCTION("""COMPUTED_VALUE"""),9.0)</f>
        <v>9</v>
      </c>
      <c r="H113" s="82"/>
      <c r="I113" s="81">
        <f>IFERROR(__xludf.DUMMYFUNCTION("""COMPUTED_VALUE"""),9.0)</f>
        <v>9</v>
      </c>
      <c r="J113" s="81">
        <f>IFERROR(__xludf.DUMMYFUNCTION("""COMPUTED_VALUE"""),9.0)</f>
        <v>9</v>
      </c>
      <c r="K113" s="81"/>
      <c r="L113" s="81"/>
      <c r="M113" s="81"/>
      <c r="N113" s="81"/>
      <c r="O113" s="79">
        <f>IFERROR(__xludf.DUMMYFUNCTION("""COMPUTED_VALUE"""),74.0)</f>
        <v>74</v>
      </c>
      <c r="P113" s="16"/>
      <c r="Q113" s="16"/>
    </row>
    <row r="114" ht="15.75" customHeight="1">
      <c r="A114" s="57" t="str">
        <f>IFERROR(__xludf.DUMMYFUNCTION("""COMPUTED_VALUE"""),"一般職")</f>
        <v>一般職</v>
      </c>
      <c r="B114" s="71">
        <f>IFERROR(__xludf.DUMMYFUNCTION("""COMPUTED_VALUE"""),2.0)</f>
        <v>2</v>
      </c>
      <c r="C114" s="81">
        <f>IFERROR(__xludf.DUMMYFUNCTION("""COMPUTED_VALUE"""),2.0)</f>
        <v>2</v>
      </c>
      <c r="D114" s="81">
        <f>IFERROR(__xludf.DUMMYFUNCTION("""COMPUTED_VALUE"""),1.0)</f>
        <v>1</v>
      </c>
      <c r="E114" s="81">
        <f>IFERROR(__xludf.DUMMYFUNCTION("""COMPUTED_VALUE"""),1.0)</f>
        <v>1</v>
      </c>
      <c r="F114" s="81">
        <f>IFERROR(__xludf.DUMMYFUNCTION("""COMPUTED_VALUE"""),1.0)</f>
        <v>1</v>
      </c>
      <c r="G114" s="81">
        <f>IFERROR(__xludf.DUMMYFUNCTION("""COMPUTED_VALUE"""),1.0)</f>
        <v>1</v>
      </c>
      <c r="H114" s="82"/>
      <c r="I114" s="81">
        <f>IFERROR(__xludf.DUMMYFUNCTION("""COMPUTED_VALUE"""),1.0)</f>
        <v>1</v>
      </c>
      <c r="J114" s="81">
        <f>IFERROR(__xludf.DUMMYFUNCTION("""COMPUTED_VALUE"""),1.0)</f>
        <v>1</v>
      </c>
      <c r="K114" s="81"/>
      <c r="L114" s="81"/>
      <c r="M114" s="81"/>
      <c r="N114" s="81"/>
      <c r="O114" s="79">
        <f>IFERROR(__xludf.DUMMYFUNCTION("""COMPUTED_VALUE"""),10.0)</f>
        <v>10</v>
      </c>
      <c r="P114" s="16"/>
      <c r="Q114" s="16"/>
    </row>
    <row r="115" ht="15.75" customHeight="1">
      <c r="A115" s="48"/>
      <c r="B115" s="48"/>
      <c r="C115" s="3"/>
      <c r="D115" s="3"/>
      <c r="E115" s="3"/>
      <c r="F115" s="3"/>
      <c r="G115" s="3"/>
      <c r="H115" s="66"/>
      <c r="I115" s="3"/>
      <c r="J115" s="3"/>
      <c r="K115" s="3"/>
      <c r="L115" s="3"/>
      <c r="M115" s="3"/>
      <c r="N115" s="3"/>
      <c r="O115" s="79"/>
      <c r="P115" s="16"/>
      <c r="Q115" s="16"/>
    </row>
    <row r="116" ht="27.0" customHeight="1">
      <c r="A116" s="43" t="str">
        <f>IFERROR(__xludf.DUMMYFUNCTION("""COMPUTED_VALUE"""),"営業利益（配布後）")</f>
        <v>営業利益（配布後）</v>
      </c>
      <c r="B116" s="44">
        <f>IFERROR(__xludf.DUMMYFUNCTION("""COMPUTED_VALUE"""),-2618228.1818181816)</f>
        <v>-2618228.182</v>
      </c>
      <c r="C116" s="80">
        <f>IFERROR(__xludf.DUMMYFUNCTION("""COMPUTED_VALUE"""),-7728599.818181818)</f>
        <v>-7728599.818</v>
      </c>
      <c r="D116" s="80">
        <f>IFERROR(__xludf.DUMMYFUNCTION("""COMPUTED_VALUE"""),-8418167.181818184)</f>
        <v>-8418167.182</v>
      </c>
      <c r="E116" s="80">
        <f>IFERROR(__xludf.DUMMYFUNCTION("""COMPUTED_VALUE"""),-2227709.0)</f>
        <v>-2227709</v>
      </c>
      <c r="F116" s="80">
        <f>IFERROR(__xludf.DUMMYFUNCTION("""COMPUTED_VALUE"""),-3703654.7272727266)</f>
        <v>-3703654.727</v>
      </c>
      <c r="G116" s="80">
        <f>IFERROR(__xludf.DUMMYFUNCTION("""COMPUTED_VALUE"""),-451396.90909090824)</f>
        <v>-451396.9091</v>
      </c>
      <c r="H116" s="66"/>
      <c r="I116" s="80">
        <f>IFERROR(__xludf.DUMMYFUNCTION("""COMPUTED_VALUE"""),-6736828.727272727)</f>
        <v>-6736828.727</v>
      </c>
      <c r="J116" s="80">
        <f>IFERROR(__xludf.DUMMYFUNCTION("""COMPUTED_VALUE"""),-9113712.636363637)</f>
        <v>-9113712.636</v>
      </c>
      <c r="K116" s="80">
        <f>IFERROR(__xludf.DUMMYFUNCTION("""COMPUTED_VALUE"""),0.0)</f>
        <v>0</v>
      </c>
      <c r="L116" s="80">
        <f>IFERROR(__xludf.DUMMYFUNCTION("""COMPUTED_VALUE"""),0.0)</f>
        <v>0</v>
      </c>
      <c r="M116" s="80">
        <f>IFERROR(__xludf.DUMMYFUNCTION("""COMPUTED_VALUE"""),0.0)</f>
        <v>0</v>
      </c>
      <c r="N116" s="80">
        <f>IFERROR(__xludf.DUMMYFUNCTION("""COMPUTED_VALUE"""),0.0)</f>
        <v>0</v>
      </c>
      <c r="O116" s="80">
        <f>IFERROR(__xludf.DUMMYFUNCTION("""COMPUTED_VALUE"""),-4.099829718181819E7)</f>
        <v>-40998297.18</v>
      </c>
      <c r="P116" s="22">
        <f>IFERROR(__xludf.DUMMYFUNCTION("""COMPUTED_VALUE"""),-0.5114811028491889)</f>
        <v>-0.5114811028</v>
      </c>
      <c r="Q116" s="16"/>
    </row>
    <row r="117" ht="15.75" customHeight="1">
      <c r="A117" s="48" t="str">
        <f>IFERROR(__xludf.DUMMYFUNCTION("""COMPUTED_VALUE"""),"経常利益（配賦後）")</f>
        <v>経常利益（配賦後）</v>
      </c>
      <c r="B117" s="46">
        <f>IFERROR(__xludf.DUMMYFUNCTION("""COMPUTED_VALUE"""),-2618228.1818181816)</f>
        <v>-2618228.182</v>
      </c>
      <c r="C117" s="24">
        <f>IFERROR(__xludf.DUMMYFUNCTION("""COMPUTED_VALUE"""),-7728599.818181818)</f>
        <v>-7728599.818</v>
      </c>
      <c r="D117" s="24">
        <f>IFERROR(__xludf.DUMMYFUNCTION("""COMPUTED_VALUE"""),-8418167.181818184)</f>
        <v>-8418167.182</v>
      </c>
      <c r="E117" s="24">
        <f>IFERROR(__xludf.DUMMYFUNCTION("""COMPUTED_VALUE"""),-2227709.0)</f>
        <v>-2227709</v>
      </c>
      <c r="F117" s="24">
        <f>IFERROR(__xludf.DUMMYFUNCTION("""COMPUTED_VALUE"""),-3703654.7272727266)</f>
        <v>-3703654.727</v>
      </c>
      <c r="G117" s="24">
        <f>IFERROR(__xludf.DUMMYFUNCTION("""COMPUTED_VALUE"""),-451396.90909090824)</f>
        <v>-451396.9091</v>
      </c>
      <c r="H117" s="66"/>
      <c r="I117" s="24">
        <f>IFERROR(__xludf.DUMMYFUNCTION("""COMPUTED_VALUE"""),-6736828.727272727)</f>
        <v>-6736828.727</v>
      </c>
      <c r="J117" s="24">
        <f>IFERROR(__xludf.DUMMYFUNCTION("""COMPUTED_VALUE"""),-9113712.636363637)</f>
        <v>-9113712.636</v>
      </c>
      <c r="K117" s="24">
        <f>IFERROR(__xludf.DUMMYFUNCTION("""COMPUTED_VALUE"""),0.0)</f>
        <v>0</v>
      </c>
      <c r="L117" s="24">
        <f>IFERROR(__xludf.DUMMYFUNCTION("""COMPUTED_VALUE"""),0.0)</f>
        <v>0</v>
      </c>
      <c r="M117" s="24">
        <f>IFERROR(__xludf.DUMMYFUNCTION("""COMPUTED_VALUE"""),0.0)</f>
        <v>0</v>
      </c>
      <c r="N117" s="24">
        <f>IFERROR(__xludf.DUMMYFUNCTION("""COMPUTED_VALUE"""),0.0)</f>
        <v>0</v>
      </c>
      <c r="O117" s="66">
        <f>IFERROR(__xludf.DUMMYFUNCTION("""COMPUTED_VALUE"""),-4.099829718181819E7)</f>
        <v>-40998297.18</v>
      </c>
      <c r="P117" s="60">
        <f>IFERROR(__xludf.DUMMYFUNCTION("""COMPUTED_VALUE"""),-0.5114811028491889)</f>
        <v>-0.5114811028</v>
      </c>
      <c r="Q117" s="60"/>
    </row>
    <row r="118" ht="15.75" customHeight="1">
      <c r="A118" s="57" t="str">
        <f>IFERROR(__xludf.DUMMYFUNCTION("""COMPUTED_VALUE"""),"人数(管理・経営投資除く)")</f>
        <v>人数(管理・経営投資除く)</v>
      </c>
      <c r="B118" s="83"/>
      <c r="C118" s="83"/>
      <c r="D118" s="83"/>
      <c r="E118" s="83"/>
      <c r="F118" s="83"/>
      <c r="G118" s="83"/>
      <c r="H118" s="84"/>
      <c r="I118" s="83"/>
      <c r="J118" s="83"/>
      <c r="K118" s="83"/>
      <c r="L118" s="83"/>
      <c r="M118" s="83"/>
      <c r="N118" s="83"/>
      <c r="O118" s="85"/>
      <c r="P118" s="60"/>
      <c r="Q118" s="60"/>
    </row>
    <row r="119" ht="15.75" customHeight="1">
      <c r="A119" s="57" t="str">
        <f>IFERROR(__xludf.DUMMYFUNCTION("""COMPUTED_VALUE"""),"配布割合")</f>
        <v>配布割合</v>
      </c>
      <c r="B119" s="86"/>
      <c r="C119" s="86"/>
      <c r="D119" s="86"/>
      <c r="E119" s="86"/>
      <c r="F119" s="86"/>
      <c r="G119" s="86"/>
      <c r="H119" s="85"/>
      <c r="I119" s="86"/>
      <c r="J119" s="86"/>
      <c r="K119" s="86"/>
      <c r="L119" s="86"/>
      <c r="M119" s="86"/>
      <c r="N119" s="86"/>
      <c r="O119" s="86"/>
      <c r="P119" s="60"/>
      <c r="Q119" s="60"/>
    </row>
    <row r="120" ht="15.75" customHeight="1">
      <c r="A120" s="57" t="str">
        <f>IFERROR(__xludf.DUMMYFUNCTION("""COMPUTED_VALUE"""),"配布額")</f>
        <v>配布額</v>
      </c>
      <c r="B120" s="87"/>
      <c r="C120" s="87"/>
      <c r="D120" s="87"/>
      <c r="E120" s="87"/>
      <c r="F120" s="87"/>
      <c r="G120" s="87"/>
      <c r="H120" s="87"/>
      <c r="I120" s="87"/>
      <c r="J120" s="87"/>
      <c r="K120" s="87"/>
      <c r="L120" s="87"/>
      <c r="M120" s="87"/>
      <c r="N120" s="87"/>
      <c r="O120" s="85"/>
      <c r="P120" s="60"/>
      <c r="Q120" s="60"/>
    </row>
    <row r="121" ht="15.75" customHeight="1">
      <c r="A121" s="57"/>
      <c r="B121" s="46"/>
      <c r="C121" s="46"/>
      <c r="D121" s="46"/>
      <c r="E121" s="46"/>
      <c r="F121" s="46"/>
      <c r="G121" s="46"/>
      <c r="H121" s="24"/>
      <c r="I121" s="46"/>
      <c r="J121" s="46"/>
      <c r="K121" s="46"/>
      <c r="L121" s="46"/>
      <c r="M121" s="46"/>
      <c r="N121" s="24"/>
      <c r="O121" s="24"/>
      <c r="P121" s="59"/>
      <c r="Q121" s="60"/>
    </row>
    <row r="122" ht="15.75" customHeight="1">
      <c r="A122" s="61" t="str">
        <f>IFERROR(__xludf.DUMMYFUNCTION("""COMPUTED_VALUE"""),"経費検算")</f>
        <v>経費検算</v>
      </c>
      <c r="B122" s="46">
        <f>IFERROR(__xludf.DUMMYFUNCTION("""COMPUTED_VALUE"""),6225858.0)</f>
        <v>6225858</v>
      </c>
      <c r="C122" s="46">
        <f>IFERROR(__xludf.DUMMYFUNCTION("""COMPUTED_VALUE"""),7149002.0)</f>
        <v>7149002</v>
      </c>
      <c r="D122" s="46">
        <f>IFERROR(__xludf.DUMMYFUNCTION("""COMPUTED_VALUE"""),5519149.0)</f>
        <v>5519149</v>
      </c>
      <c r="E122" s="46">
        <f>IFERROR(__xludf.DUMMYFUNCTION("""COMPUTED_VALUE"""),5404549.0)</f>
        <v>5404549</v>
      </c>
      <c r="F122" s="46">
        <f>IFERROR(__xludf.DUMMYFUNCTION("""COMPUTED_VALUE"""),6573772.0)</f>
        <v>6573772</v>
      </c>
      <c r="G122" s="46">
        <f>IFERROR(__xludf.DUMMYFUNCTION("""COMPUTED_VALUE"""),6225193.0)</f>
        <v>6225193</v>
      </c>
      <c r="H122" s="24"/>
      <c r="I122" s="46">
        <f>IFERROR(__xludf.DUMMYFUNCTION("""COMPUTED_VALUE"""),5149875.0)</f>
        <v>5149875</v>
      </c>
      <c r="J122" s="46">
        <f>IFERROR(__xludf.DUMMYFUNCTION("""COMPUTED_VALUE"""),6726353.0)</f>
        <v>6726353</v>
      </c>
      <c r="K122" s="46">
        <f>IFERROR(__xludf.DUMMYFUNCTION("""COMPUTED_VALUE"""),0.0)</f>
        <v>0</v>
      </c>
      <c r="L122" s="46">
        <f>IFERROR(__xludf.DUMMYFUNCTION("""COMPUTED_VALUE"""),0.0)</f>
        <v>0</v>
      </c>
      <c r="M122" s="46">
        <f>IFERROR(__xludf.DUMMYFUNCTION("""COMPUTED_VALUE"""),0.0)</f>
        <v>0</v>
      </c>
      <c r="N122" s="24">
        <f>IFERROR(__xludf.DUMMYFUNCTION("""COMPUTED_VALUE"""),0.0)</f>
        <v>0</v>
      </c>
      <c r="O122" s="24"/>
      <c r="P122" s="59"/>
      <c r="Q122" s="60"/>
    </row>
    <row r="123" ht="15.75" customHeight="1">
      <c r="A123" s="57"/>
      <c r="B123" s="46"/>
      <c r="C123" s="46"/>
      <c r="D123" s="46"/>
      <c r="E123" s="46"/>
      <c r="F123" s="46"/>
      <c r="G123" s="46"/>
      <c r="H123" s="24"/>
      <c r="I123" s="46"/>
      <c r="J123" s="46"/>
      <c r="K123" s="46"/>
      <c r="L123" s="46"/>
      <c r="M123" s="46"/>
      <c r="N123" s="24"/>
      <c r="O123" s="24"/>
      <c r="P123" s="59"/>
      <c r="Q123" s="60"/>
    </row>
    <row r="124" ht="15.75" customHeight="1">
      <c r="A124" s="57"/>
      <c r="B124" s="46"/>
      <c r="C124" s="46"/>
      <c r="D124" s="46"/>
      <c r="E124" s="46"/>
      <c r="F124" s="46"/>
      <c r="G124" s="46"/>
      <c r="H124" s="24"/>
      <c r="I124" s="46"/>
      <c r="J124" s="46"/>
      <c r="K124" s="46"/>
      <c r="L124" s="46"/>
      <c r="M124" s="46"/>
      <c r="N124" s="24"/>
      <c r="O124" s="24"/>
      <c r="P124" s="59"/>
      <c r="Q124" s="60"/>
    </row>
    <row r="125" ht="15.75" customHeight="1">
      <c r="A125" s="57"/>
      <c r="B125" s="46"/>
      <c r="C125" s="46"/>
      <c r="D125" s="46"/>
      <c r="E125" s="46"/>
      <c r="F125" s="46"/>
      <c r="G125" s="46"/>
      <c r="H125" s="24"/>
      <c r="I125" s="46"/>
      <c r="J125" s="46"/>
      <c r="K125" s="46"/>
      <c r="L125" s="46"/>
      <c r="M125" s="46"/>
      <c r="N125" s="24"/>
      <c r="O125" s="24"/>
      <c r="P125" s="59"/>
      <c r="Q125" s="60"/>
    </row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 gridLines="1" horizontalCentered="1"/>
  <pageMargins bottom="0.75" footer="0.0" header="0.0" left="0.25" right="0.25" top="0.75"/>
  <pageSetup fitToHeight="0" paperSize="8" cellComments="atEnd" orientation="portrait" pageOrder="overThenDown"/>
  <drawing r:id="rId1"/>
</worksheet>
</file>