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c057fd7477d87051/Desktop/Kaupandi ehf/Greiningar/ICE/"/>
    </mc:Choice>
  </mc:AlternateContent>
  <xr:revisionPtr revIDLastSave="286" documentId="8_{F2839463-24F9-4EBF-AEF1-2C1E29331B84}" xr6:coauthVersionLast="47" xr6:coauthVersionMax="47" xr10:uidLastSave="{43BC8389-899D-4741-8B1B-0827C8183B7A}"/>
  <bookViews>
    <workbookView xWindow="-108" yWindow="-108" windowWidth="30936" windowHeight="17496" tabRatio="603" activeTab="1" xr2:uid="{485F2BF1-719E-46A6-84BB-E5D241AD2CBC}"/>
  </bookViews>
  <sheets>
    <sheet name="ALVO" sheetId="1" r:id="rId1"/>
    <sheet name="Model" sheetId="5" r:id="rId2"/>
    <sheet name="Pipeline" sheetId="2" r:id="rId3"/>
    <sheet name="AVT02 (Humira)" sheetId="3" r:id="rId4"/>
    <sheet name="AVT04 (Stelara)" sheetId="4" r:id="rId5"/>
    <sheet name="Funding"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5" l="1"/>
  <c r="Q84" i="5"/>
  <c r="Q25" i="5"/>
  <c r="Q24" i="5"/>
  <c r="P73" i="5"/>
  <c r="O73" i="5"/>
  <c r="N73" i="5"/>
  <c r="M73" i="5"/>
  <c r="Q69" i="5"/>
  <c r="P69" i="5"/>
  <c r="P70" i="5" s="1"/>
  <c r="O69" i="5"/>
  <c r="O70" i="5" s="1"/>
  <c r="O71" i="5" s="1"/>
  <c r="N69" i="5"/>
  <c r="N70" i="5" s="1"/>
  <c r="M69" i="5"/>
  <c r="M70" i="5" s="1"/>
  <c r="M71" i="5" s="1"/>
  <c r="Q60" i="5"/>
  <c r="P60" i="5"/>
  <c r="O60" i="5"/>
  <c r="N60" i="5"/>
  <c r="M60" i="5"/>
  <c r="Q51" i="5"/>
  <c r="P51" i="5"/>
  <c r="O51" i="5"/>
  <c r="N51" i="5"/>
  <c r="M51" i="5"/>
  <c r="Q43" i="5"/>
  <c r="P43" i="5"/>
  <c r="O43" i="5"/>
  <c r="O44" i="5" s="1"/>
  <c r="N43" i="5"/>
  <c r="M43" i="5"/>
  <c r="M35" i="5"/>
  <c r="N35" i="5"/>
  <c r="O35" i="5"/>
  <c r="P35" i="5"/>
  <c r="Q29" i="5"/>
  <c r="Q35" i="5" s="1"/>
  <c r="X24" i="5"/>
  <c r="W29" i="5"/>
  <c r="W35" i="5" s="1"/>
  <c r="X29" i="5"/>
  <c r="X35" i="5" s="1"/>
  <c r="Q17" i="5"/>
  <c r="Q7" i="5"/>
  <c r="Q10" i="5" s="1"/>
  <c r="Q18" i="5" s="1"/>
  <c r="D46" i="6"/>
  <c r="C46" i="6"/>
  <c r="F25" i="1"/>
  <c r="G21" i="1" s="1"/>
  <c r="C25" i="1"/>
  <c r="D22" i="1" s="1"/>
  <c r="X17" i="5"/>
  <c r="W17" i="5"/>
  <c r="V17" i="5"/>
  <c r="W69" i="5"/>
  <c r="X69" i="5"/>
  <c r="W60" i="5"/>
  <c r="X60" i="5"/>
  <c r="W51" i="5"/>
  <c r="X51" i="5"/>
  <c r="W43" i="5"/>
  <c r="X43" i="5"/>
  <c r="W7" i="5"/>
  <c r="W10" i="5" s="1"/>
  <c r="W18" i="5" s="1"/>
  <c r="W20" i="5" s="1"/>
  <c r="W73" i="5" s="1"/>
  <c r="Y7" i="5"/>
  <c r="Y10" i="5" s="1"/>
  <c r="V7" i="5"/>
  <c r="V10" i="5" s="1"/>
  <c r="V18" i="5" s="1"/>
  <c r="X7" i="5"/>
  <c r="X10" i="5" s="1"/>
  <c r="X18" i="5" s="1"/>
  <c r="F17" i="1"/>
  <c r="G14" i="1" s="1"/>
  <c r="G16" i="1"/>
  <c r="C17" i="1"/>
  <c r="D16" i="1" s="1"/>
  <c r="L6" i="1"/>
  <c r="L5" i="1"/>
  <c r="L8" i="1" s="1"/>
  <c r="L4" i="1"/>
  <c r="L7" i="1" s="1"/>
  <c r="M44" i="5" l="1"/>
  <c r="N44" i="5"/>
  <c r="P71" i="5"/>
  <c r="P44" i="5"/>
  <c r="N71" i="5"/>
  <c r="Q44" i="5"/>
  <c r="Q70" i="5"/>
  <c r="Q71" i="5" s="1"/>
  <c r="W70" i="5"/>
  <c r="W71" i="5" s="1"/>
  <c r="Q20" i="5"/>
  <c r="Q73" i="5" s="1"/>
  <c r="Q74" i="5" s="1"/>
  <c r="X70" i="5"/>
  <c r="X71" i="5" s="1"/>
  <c r="X44" i="5"/>
  <c r="G15" i="1"/>
  <c r="D24" i="1"/>
  <c r="D23" i="1"/>
  <c r="G22" i="1"/>
  <c r="G23" i="1"/>
  <c r="D21" i="1"/>
  <c r="D25" i="1" s="1"/>
  <c r="V20" i="5"/>
  <c r="V73" i="5" s="1"/>
  <c r="X20" i="5"/>
  <c r="X73" i="5" s="1"/>
  <c r="W44" i="5"/>
  <c r="D15" i="1"/>
  <c r="G17" i="1"/>
  <c r="D14" i="1"/>
  <c r="D17" i="1" s="1"/>
  <c r="G25" i="1" l="1"/>
</calcChain>
</file>

<file path=xl/sharedStrings.xml><?xml version="1.0" encoding="utf-8"?>
<sst xmlns="http://schemas.openxmlformats.org/spreadsheetml/2006/main" count="400" uniqueCount="264">
  <si>
    <t>ALVO</t>
  </si>
  <si>
    <t>Alvotech</t>
  </si>
  <si>
    <t>Price</t>
  </si>
  <si>
    <t>Headquarters: Reykjavik, Iceland</t>
  </si>
  <si>
    <t>Shares</t>
  </si>
  <si>
    <t>280.000 square feet - including R&amp;D, process, quality, manufacturing and HQ.</t>
  </si>
  <si>
    <t>MC</t>
  </si>
  <si>
    <t>Cash</t>
  </si>
  <si>
    <t>Employees</t>
  </si>
  <si>
    <t>Debt</t>
  </si>
  <si>
    <t>85% of workforce dedicated to manufacturing</t>
  </si>
  <si>
    <t>EV</t>
  </si>
  <si>
    <t>1000+ as of 31 December 2023</t>
  </si>
  <si>
    <t>Net Cash</t>
  </si>
  <si>
    <t>Sales and Marketing:</t>
  </si>
  <si>
    <t>CEO</t>
  </si>
  <si>
    <t>Robert Wessman</t>
  </si>
  <si>
    <t>Product revenue</t>
  </si>
  <si>
    <t>% Total</t>
  </si>
  <si>
    <t>Europe</t>
  </si>
  <si>
    <t>North America</t>
  </si>
  <si>
    <t>Asia &amp; other</t>
  </si>
  <si>
    <t>Total</t>
  </si>
  <si>
    <t>Revenue</t>
  </si>
  <si>
    <t>Customer A</t>
  </si>
  <si>
    <t>Customer B</t>
  </si>
  <si>
    <t>Customer C</t>
  </si>
  <si>
    <t>Customer D</t>
  </si>
  <si>
    <t>---</t>
  </si>
  <si>
    <t>Board of Directors</t>
  </si>
  <si>
    <t>Role</t>
  </si>
  <si>
    <t>Chairman</t>
  </si>
  <si>
    <t>Richard Davies</t>
  </si>
  <si>
    <t>Vice Chairman</t>
  </si>
  <si>
    <t>Ann Merchant</t>
  </si>
  <si>
    <t>Board member</t>
  </si>
  <si>
    <t>Árni Harðarson</t>
  </si>
  <si>
    <t>Faysal Kalmoua</t>
  </si>
  <si>
    <t>Linda McGoldrick</t>
  </si>
  <si>
    <t>Lisa Graver</t>
  </si>
  <si>
    <t>Tomas Ekman</t>
  </si>
  <si>
    <t>Key People</t>
  </si>
  <si>
    <t>Other executive team members (9)</t>
  </si>
  <si>
    <t>Main</t>
  </si>
  <si>
    <t>Q121</t>
  </si>
  <si>
    <t>Q221</t>
  </si>
  <si>
    <t>Q321</t>
  </si>
  <si>
    <t>Q421</t>
  </si>
  <si>
    <t>Q122</t>
  </si>
  <si>
    <t>Q222</t>
  </si>
  <si>
    <t>Q322</t>
  </si>
  <si>
    <t>Q422</t>
  </si>
  <si>
    <t>Q123</t>
  </si>
  <si>
    <t>Q223</t>
  </si>
  <si>
    <t>Q323</t>
  </si>
  <si>
    <t>Q423</t>
  </si>
  <si>
    <t>Licence and other</t>
  </si>
  <si>
    <t>Other income</t>
  </si>
  <si>
    <t>COGS</t>
  </si>
  <si>
    <t>Gross Profit</t>
  </si>
  <si>
    <t>R&amp;D</t>
  </si>
  <si>
    <t>G&amp;A</t>
  </si>
  <si>
    <t>Operating income</t>
  </si>
  <si>
    <t>Share of net loss of joint</t>
  </si>
  <si>
    <t>Impairment loss on investment</t>
  </si>
  <si>
    <t>Fianance income</t>
  </si>
  <si>
    <t>Finance cost</t>
  </si>
  <si>
    <t>Exchange rate differences</t>
  </si>
  <si>
    <t>Loss or gain on financial liabilities</t>
  </si>
  <si>
    <t>Non operating</t>
  </si>
  <si>
    <t>Pretax</t>
  </si>
  <si>
    <t>Taxes (benefit)</t>
  </si>
  <si>
    <t>Net income</t>
  </si>
  <si>
    <t>EPS</t>
  </si>
  <si>
    <t>PP&amp;E</t>
  </si>
  <si>
    <t>ROU Assets</t>
  </si>
  <si>
    <t>Goodwill + Intangibles</t>
  </si>
  <si>
    <t>Contract assets</t>
  </si>
  <si>
    <t>Investment</t>
  </si>
  <si>
    <t>Other long term assets</t>
  </si>
  <si>
    <t>Restricted cash</t>
  </si>
  <si>
    <t>DT</t>
  </si>
  <si>
    <t>Non current assets</t>
  </si>
  <si>
    <t>Inventories</t>
  </si>
  <si>
    <t>Trade receivables</t>
  </si>
  <si>
    <t>Other current assets</t>
  </si>
  <si>
    <t>Receivables from related</t>
  </si>
  <si>
    <t>Current assets</t>
  </si>
  <si>
    <t>Total Assets</t>
  </si>
  <si>
    <t>Share capital</t>
  </si>
  <si>
    <t>Share premium</t>
  </si>
  <si>
    <t>Other reserves</t>
  </si>
  <si>
    <t>Translation reserve</t>
  </si>
  <si>
    <t>Deficit</t>
  </si>
  <si>
    <t>Total equity</t>
  </si>
  <si>
    <t>Borrowings</t>
  </si>
  <si>
    <t>Derivative financial liabilties</t>
  </si>
  <si>
    <t>Other lon-term liability related party</t>
  </si>
  <si>
    <t>Leases</t>
  </si>
  <si>
    <t>Long-term incentive</t>
  </si>
  <si>
    <t>Contract liabilites</t>
  </si>
  <si>
    <t>DT Liabilities</t>
  </si>
  <si>
    <t>Trade and other payables</t>
  </si>
  <si>
    <t>Current maturites</t>
  </si>
  <si>
    <t>Liabilities to related parties</t>
  </si>
  <si>
    <t>Contract liabilties</t>
  </si>
  <si>
    <t>Taxes payable</t>
  </si>
  <si>
    <t>Other current liabilities</t>
  </si>
  <si>
    <t>Total liabilities</t>
  </si>
  <si>
    <t>Total E&amp;L</t>
  </si>
  <si>
    <t>NI</t>
  </si>
  <si>
    <t>WC</t>
  </si>
  <si>
    <t>CFFO</t>
  </si>
  <si>
    <t>CFFI</t>
  </si>
  <si>
    <t>CFFF</t>
  </si>
  <si>
    <t>Pipeline</t>
  </si>
  <si>
    <t>Type</t>
  </si>
  <si>
    <t>Trade name</t>
  </si>
  <si>
    <t>Status</t>
  </si>
  <si>
    <t>Where</t>
  </si>
  <si>
    <t>Launch date</t>
  </si>
  <si>
    <t>Later launch dates</t>
  </si>
  <si>
    <t>AVT02</t>
  </si>
  <si>
    <t>Biosimilar</t>
  </si>
  <si>
    <t>Humira</t>
  </si>
  <si>
    <t>Adalimumab</t>
  </si>
  <si>
    <t>Regulatory approval</t>
  </si>
  <si>
    <t>50 markets</t>
  </si>
  <si>
    <t>US the first half of 2024</t>
  </si>
  <si>
    <t>AVT04</t>
  </si>
  <si>
    <t>Stelara</t>
  </si>
  <si>
    <t>Ustekinumab</t>
  </si>
  <si>
    <t>Approved</t>
  </si>
  <si>
    <t>Japan, Canada and EEA</t>
  </si>
  <si>
    <t>March 1, 2024</t>
  </si>
  <si>
    <t>Japan and Europe Q224 and Q324.</t>
  </si>
  <si>
    <t>AVT03</t>
  </si>
  <si>
    <t>Eylea</t>
  </si>
  <si>
    <t>Aflibercept</t>
  </si>
  <si>
    <t>In advanced clinical development</t>
  </si>
  <si>
    <t>AVT05</t>
  </si>
  <si>
    <t>Xgeva and Prolia</t>
  </si>
  <si>
    <t>Denosumab</t>
  </si>
  <si>
    <t>AVT06</t>
  </si>
  <si>
    <t>Simponi / Simponi aria</t>
  </si>
  <si>
    <t>Golimumab</t>
  </si>
  <si>
    <t>AVT23</t>
  </si>
  <si>
    <t>Xolair</t>
  </si>
  <si>
    <t>Omalizumab</t>
  </si>
  <si>
    <t>In clinical development</t>
  </si>
  <si>
    <t>AVT16</t>
  </si>
  <si>
    <t>Entyvio</t>
  </si>
  <si>
    <t>Vedolizumab</t>
  </si>
  <si>
    <t>In pre-clinical development</t>
  </si>
  <si>
    <t>AVT33</t>
  </si>
  <si>
    <t>Pembrolizumab</t>
  </si>
  <si>
    <t>AVT???</t>
  </si>
  <si>
    <t>Undisclosed in pre-clinical dev</t>
  </si>
  <si>
    <t>Active ingredient</t>
  </si>
  <si>
    <t>Adalimumab which inhibits tumor necrosis factor (TNF), a protein causing inflammation</t>
  </si>
  <si>
    <t>Uses</t>
  </si>
  <si>
    <t>Treats varous inflammatory conditions including rheumatoid arthritis, psoriatic arthritis, Chrohn's, ulcerative colitis, plaque psoriasis</t>
  </si>
  <si>
    <t>Formulations</t>
  </si>
  <si>
    <t>Available in high concentration (100mg/mL) across four doses (10mg, 20mg, 40mg, 80mg) and lower (50mg/mL) in three strengths (10, 20 and 40mg)</t>
  </si>
  <si>
    <t>Market</t>
  </si>
  <si>
    <t>Domintant in the US market, accounting for about 80% of all Humira prescriptions. Global net $14.4B in 2023</t>
  </si>
  <si>
    <t xml:space="preserve">AVT02 </t>
  </si>
  <si>
    <t>Description</t>
  </si>
  <si>
    <t>A high concentration citrate-free biosimilar to Humira</t>
  </si>
  <si>
    <t>Regulatory status</t>
  </si>
  <si>
    <t>Approved in 52 countries, including major markets such as the EEA, UK, Switzerland, Canada, Australia and several countries in the Middle East and Africa.</t>
  </si>
  <si>
    <t>Market presence</t>
  </si>
  <si>
    <t>Already marketed in Europe, Canada, and Australia.</t>
  </si>
  <si>
    <t>US Market Entry</t>
  </si>
  <si>
    <t>Received U.S. FDA approval on 23. February 2024 as an interchangeable biosimilar to Humira. Scheduled to launch in the US during the first half of 2024 in partnership with Teva</t>
  </si>
  <si>
    <t>Exclusivity</t>
  </si>
  <si>
    <t>Qualifies for exsclusivity as a high-concentration biosimilar in the US market, potentially securing a competivive edge.</t>
  </si>
  <si>
    <t>Ustekinumab, a human IgGiκ monoclonal antibody targeting interluekin-12 and interluekin-23 cytokines.</t>
  </si>
  <si>
    <t>Prescribed for various inflammatory conditions such as psoriatic arthritis, Chrohn's disease, ulcerative colitis and plaque psoriasis.</t>
  </si>
  <si>
    <t>Market performance</t>
  </si>
  <si>
    <t>Stelara achieved global net revenues of approximately $10.8 billion in 2023</t>
  </si>
  <si>
    <t>Manufacturing</t>
  </si>
  <si>
    <t>Utilizes the SP2/0 host cell line, identical to that used for Stelara, enhancing the biosimilarity and potentially simplifying the regulatory approval process due to r educed risk of variability in biological activity.</t>
  </si>
  <si>
    <t>Approved in Japan, Canada, and the European Economic Are (EEA) as of early 2024. The US FDA review of the Biologics Licence Application (BLA) for AVT04 is expected to complete by April 16, 2024</t>
  </si>
  <si>
    <t>Market entry</t>
  </si>
  <si>
    <t>Settlements</t>
  </si>
  <si>
    <t>Reached settlement agreements with Johnson &amp; Johnson, the manufacturer of the reference product Stelara, which likely resolves potential litigation and facilitates market entry.</t>
  </si>
  <si>
    <t>Funding</t>
  </si>
  <si>
    <t>Name</t>
  </si>
  <si>
    <t>Amount</t>
  </si>
  <si>
    <t>Currency</t>
  </si>
  <si>
    <t>Interest</t>
  </si>
  <si>
    <t>Terms</t>
  </si>
  <si>
    <t>Loans</t>
  </si>
  <si>
    <t>Facility loan</t>
  </si>
  <si>
    <t>7. December 2021</t>
  </si>
  <si>
    <t>Convertible Shareholder Loan</t>
  </si>
  <si>
    <t>USD</t>
  </si>
  <si>
    <t>24. June 2021</t>
  </si>
  <si>
    <t>Convertible bonds</t>
  </si>
  <si>
    <t>Class A ordinary shares</t>
  </si>
  <si>
    <t>31. December 2021</t>
  </si>
  <si>
    <t>16. November 2022</t>
  </si>
  <si>
    <t>Senior Bonds</t>
  </si>
  <si>
    <t>per annum</t>
  </si>
  <si>
    <t>20. December 2022</t>
  </si>
  <si>
    <t>Tranche A</t>
  </si>
  <si>
    <t>ISK</t>
  </si>
  <si>
    <t>Tranche B</t>
  </si>
  <si>
    <t>Fair value $24.9 million</t>
  </si>
  <si>
    <t>25. January 2023</t>
  </si>
  <si>
    <t>Fair value $1.4 million</t>
  </si>
  <si>
    <t>24. July 2023</t>
  </si>
  <si>
    <t>Fair value $3.9 million</t>
  </si>
  <si>
    <t>31. July 2023</t>
  </si>
  <si>
    <t>ATP Holdings ehf.</t>
  </si>
  <si>
    <t>Fair value $45.6 million</t>
  </si>
  <si>
    <t>AS OF 31 DEC. 23</t>
  </si>
  <si>
    <t>(Carrying amount of the Tranche A and Tranche B of the 2022 convertible bonds is 107.1 million and 48.8 million)</t>
  </si>
  <si>
    <t>Share purchase agreement</t>
  </si>
  <si>
    <t>Maturity 16. nov 2025 *convert to outstanding shares on 30 Dec 223, 30 June 24 or when the bond has been called or put up for mandatory or optional redemption. Conversion price $10.00</t>
  </si>
  <si>
    <t>Alvogen Facility</t>
  </si>
  <si>
    <t>Interest free</t>
  </si>
  <si>
    <t>Aztiq</t>
  </si>
  <si>
    <t>Fair value $32.2 million</t>
  </si>
  <si>
    <t>22. february 2022</t>
  </si>
  <si>
    <t>Credit Facility</t>
  </si>
  <si>
    <t>Landsbankinn</t>
  </si>
  <si>
    <t>4. August 2023</t>
  </si>
  <si>
    <t>14. December 2023</t>
  </si>
  <si>
    <t>1. January</t>
  </si>
  <si>
    <t>Recognition of deffered debt issue cost</t>
  </si>
  <si>
    <t>Accretion/derecognition discount</t>
  </si>
  <si>
    <t>Recognition of new borrowing discount</t>
  </si>
  <si>
    <t>Proceeds from new borrowings</t>
  </si>
  <si>
    <t>Loans from related party converted to equity</t>
  </si>
  <si>
    <t>Repayments of borrowings</t>
  </si>
  <si>
    <t>Accrued interest</t>
  </si>
  <si>
    <t>Amortization deferred debt issue cost</t>
  </si>
  <si>
    <t>Foreign currency excchange difference</t>
  </si>
  <si>
    <t>31. december</t>
  </si>
  <si>
    <t>Launched in Canada in March 2024. Scheduled launches include Japan in Q2 2024, Europe in Q3 2024, and anticipated US launch in February 2025, FDA has approved (16.4.2024)</t>
  </si>
  <si>
    <t>Molecule name</t>
  </si>
  <si>
    <t>SELARSDI</t>
  </si>
  <si>
    <t>Large shareholders</t>
  </si>
  <si>
    <t>Percent</t>
  </si>
  <si>
    <t>Aztic Pharma</t>
  </si>
  <si>
    <t>Alvogen Lux</t>
  </si>
  <si>
    <t>Oaktree</t>
  </si>
  <si>
    <t>Bracebridge</t>
  </si>
  <si>
    <t>YAY Holding</t>
  </si>
  <si>
    <t>Other</t>
  </si>
  <si>
    <t>Q124</t>
  </si>
  <si>
    <t>Q224</t>
  </si>
  <si>
    <t>Q324</t>
  </si>
  <si>
    <t>Q424</t>
  </si>
  <si>
    <t>Cash Flow</t>
  </si>
  <si>
    <t>Free Cash Flow</t>
  </si>
  <si>
    <t>CapEx</t>
  </si>
  <si>
    <t xml:space="preserve">Increase (decrease) in cash </t>
  </si>
  <si>
    <t>Cash at beginning of period</t>
  </si>
  <si>
    <t>Cash at end of period</t>
  </si>
  <si>
    <t>Exchange rates on cash held</t>
  </si>
  <si>
    <t>Before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</si>
</sst>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1"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2"/>
      <color theme="1"/>
      <name val="Aptos Narrow"/>
      <family val="2"/>
      <scheme val="minor"/>
    </font>
    <font>
      <b/>
      <sz val="14"/>
      <color theme="1"/>
      <name val="Aptos Narrow"/>
      <family val="2"/>
      <scheme val="minor"/>
    </font>
    <font>
      <b/>
      <i/>
      <sz val="9"/>
      <color theme="1"/>
      <name val="Aptos Narrow"/>
      <family val="2"/>
      <scheme val="minor"/>
    </font>
    <font>
      <sz val="8"/>
      <name val="Aptos Narrow"/>
      <family val="2"/>
      <scheme val="minor"/>
    </font>
    <font>
      <b/>
      <u/>
      <sz val="11"/>
      <color theme="1"/>
      <name val="Aptos Narrow"/>
      <family val="2"/>
      <scheme val="minor"/>
    </font>
    <font>
      <i/>
      <sz val="11"/>
      <color theme="1"/>
      <name val="Aptos Narrow"/>
      <family val="2"/>
      <scheme val="minor"/>
    </font>
    <font>
      <u/>
      <sz val="11"/>
      <color theme="1"/>
      <name val="Aptos Narrow"/>
      <family val="2"/>
      <scheme val="minor"/>
    </font>
    <font>
      <b/>
      <sz val="16"/>
      <color theme="1"/>
      <name val="Aptos Narrow"/>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0" fillId="0" borderId="1"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3" fontId="0" fillId="0" borderId="9" xfId="0" applyNumberFormat="1" applyBorder="1"/>
    <xf numFmtId="164" fontId="0" fillId="0" borderId="9" xfId="0" applyNumberFormat="1" applyBorder="1"/>
    <xf numFmtId="0" fontId="1" fillId="0" borderId="0" xfId="0" applyFont="1"/>
    <xf numFmtId="0" fontId="1" fillId="0" borderId="0" xfId="0" applyFont="1" applyAlignment="1">
      <alignment horizontal="center"/>
    </xf>
    <xf numFmtId="0" fontId="2" fillId="0" borderId="0" xfId="1" applyAlignment="1">
      <alignment horizontal="center"/>
    </xf>
    <xf numFmtId="0" fontId="0" fillId="0" borderId="0" xfId="0" applyAlignment="1">
      <alignment wrapText="1"/>
    </xf>
    <xf numFmtId="0" fontId="3" fillId="0" borderId="0" xfId="0" applyFont="1" applyAlignment="1">
      <alignment horizontal="left" vertical="center"/>
    </xf>
    <xf numFmtId="0" fontId="3" fillId="0" borderId="0" xfId="0" applyFont="1" applyAlignment="1">
      <alignment vertical="center"/>
    </xf>
    <xf numFmtId="0" fontId="0" fillId="0" borderId="5" xfId="0" applyBorder="1"/>
    <xf numFmtId="0" fontId="3" fillId="0" borderId="1" xfId="0" applyFont="1" applyBorder="1" applyAlignment="1">
      <alignment vertical="center"/>
    </xf>
    <xf numFmtId="0" fontId="0" fillId="0" borderId="1" xfId="0" applyBorder="1" applyAlignment="1">
      <alignment wrapText="1"/>
    </xf>
    <xf numFmtId="0" fontId="3" fillId="0" borderId="3" xfId="0" applyFont="1" applyBorder="1" applyAlignment="1">
      <alignment vertical="center"/>
    </xf>
    <xf numFmtId="0" fontId="0" fillId="0" borderId="3" xfId="0" applyBorder="1" applyAlignment="1">
      <alignment wrapText="1"/>
    </xf>
    <xf numFmtId="0" fontId="3" fillId="0" borderId="1" xfId="0" applyFont="1" applyBorder="1"/>
    <xf numFmtId="0" fontId="3" fillId="0" borderId="1" xfId="0" applyFont="1" applyBorder="1" applyAlignment="1">
      <alignment horizontal="left" vertical="center"/>
    </xf>
    <xf numFmtId="0" fontId="3" fillId="0" borderId="3" xfId="0" applyFont="1" applyBorder="1"/>
    <xf numFmtId="0" fontId="2" fillId="0" borderId="0" xfId="1"/>
    <xf numFmtId="9" fontId="0" fillId="0" borderId="0" xfId="0" applyNumberFormat="1"/>
    <xf numFmtId="3" fontId="0" fillId="0" borderId="0" xfId="0" applyNumberFormat="1"/>
    <xf numFmtId="3" fontId="0" fillId="0" borderId="1" xfId="0" applyNumberFormat="1" applyBorder="1"/>
    <xf numFmtId="9" fontId="0" fillId="0" borderId="9" xfId="0" applyNumberFormat="1" applyBorder="1"/>
    <xf numFmtId="0" fontId="0" fillId="0" borderId="14" xfId="0" applyBorder="1"/>
    <xf numFmtId="0" fontId="0" fillId="0" borderId="6" xfId="0" applyBorder="1" applyAlignment="1">
      <alignment horizontal="center"/>
    </xf>
    <xf numFmtId="0" fontId="3" fillId="0" borderId="0" xfId="0" applyFont="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7" fillId="0" borderId="0" xfId="0" applyFont="1"/>
    <xf numFmtId="3" fontId="0" fillId="0" borderId="16" xfId="0" applyNumberFormat="1" applyBorder="1"/>
    <xf numFmtId="0" fontId="8" fillId="0" borderId="8" xfId="0" applyFont="1" applyBorder="1" applyAlignment="1">
      <alignment horizontal="right"/>
    </xf>
    <xf numFmtId="3" fontId="0" fillId="0" borderId="3" xfId="0" applyNumberFormat="1" applyBorder="1"/>
    <xf numFmtId="0" fontId="1" fillId="0" borderId="17" xfId="0" applyFont="1" applyBorder="1" applyAlignment="1">
      <alignment horizontal="center"/>
    </xf>
    <xf numFmtId="0" fontId="1" fillId="0" borderId="18" xfId="0" applyFont="1" applyBorder="1" applyAlignment="1">
      <alignment horizontal="center"/>
    </xf>
    <xf numFmtId="10" fontId="0" fillId="0" borderId="0" xfId="0" applyNumberFormat="1"/>
    <xf numFmtId="0" fontId="1" fillId="0" borderId="4" xfId="0" applyFont="1" applyBorder="1"/>
    <xf numFmtId="0" fontId="0" fillId="0" borderId="19" xfId="0" applyBorder="1"/>
    <xf numFmtId="0" fontId="9" fillId="0" borderId="0" xfId="0" applyFont="1"/>
    <xf numFmtId="3" fontId="9" fillId="0" borderId="0" xfId="0" applyNumberFormat="1" applyFont="1"/>
    <xf numFmtId="3" fontId="1" fillId="0" borderId="0" xfId="0" applyNumberFormat="1" applyFont="1"/>
    <xf numFmtId="3" fontId="1" fillId="0" borderId="20" xfId="0" applyNumberFormat="1"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 fillId="0" borderId="4" xfId="0" applyFont="1" applyBorder="1" applyAlignment="1">
      <alignment horizontal="center"/>
    </xf>
    <xf numFmtId="0" fontId="1" fillId="0" borderId="26" xfId="0" applyFont="1" applyBorder="1" applyAlignment="1">
      <alignment horizontal="center"/>
    </xf>
    <xf numFmtId="3" fontId="0" fillId="0" borderId="13" xfId="0" applyNumberFormat="1" applyBorder="1"/>
    <xf numFmtId="9" fontId="0" fillId="0" borderId="14" xfId="0" applyNumberFormat="1" applyBorder="1"/>
    <xf numFmtId="3" fontId="0" fillId="0" borderId="8" xfId="0" applyNumberFormat="1" applyBorder="1"/>
    <xf numFmtId="0" fontId="0" fillId="0" borderId="8" xfId="0" applyBorder="1" applyAlignment="1">
      <alignment horizontal="left"/>
    </xf>
    <xf numFmtId="0" fontId="0" fillId="0" borderId="10" xfId="0" applyBorder="1" applyAlignment="1">
      <alignment horizontal="left"/>
    </xf>
    <xf numFmtId="0" fontId="0" fillId="0" borderId="13" xfId="0" applyBorder="1" applyAlignment="1">
      <alignment horizontal="left"/>
    </xf>
    <xf numFmtId="0" fontId="1" fillId="0" borderId="2" xfId="0" applyFont="1" applyBorder="1" applyAlignment="1">
      <alignment horizontal="center"/>
    </xf>
    <xf numFmtId="0" fontId="3" fillId="0" borderId="2" xfId="0" applyFont="1" applyBorder="1" applyAlignment="1">
      <alignment horizontal="center"/>
    </xf>
    <xf numFmtId="1" fontId="3" fillId="0" borderId="27" xfId="0" applyNumberFormat="1" applyFont="1" applyBorder="1" applyAlignment="1">
      <alignment horizontal="center"/>
    </xf>
    <xf numFmtId="0" fontId="8" fillId="0" borderId="13" xfId="0" applyFont="1" applyBorder="1" applyAlignment="1">
      <alignment horizontal="right"/>
    </xf>
    <xf numFmtId="0" fontId="1" fillId="0" borderId="28" xfId="0" applyFont="1" applyBorder="1" applyAlignment="1">
      <alignment horizontal="center"/>
    </xf>
    <xf numFmtId="0" fontId="8" fillId="0" borderId="29" xfId="0" applyFont="1" applyBorder="1" applyAlignment="1">
      <alignment horizontal="right"/>
    </xf>
    <xf numFmtId="3" fontId="0" fillId="0" borderId="15" xfId="0" applyNumberFormat="1" applyBorder="1"/>
    <xf numFmtId="9" fontId="0" fillId="0" borderId="30" xfId="0" applyNumberFormat="1" applyBorder="1"/>
    <xf numFmtId="3" fontId="0" fillId="0" borderId="29" xfId="0" quotePrefix="1" applyNumberFormat="1" applyBorder="1" applyAlignment="1">
      <alignment horizontal="right"/>
    </xf>
    <xf numFmtId="9" fontId="0" fillId="0" borderId="30" xfId="0" quotePrefix="1" applyNumberFormat="1" applyBorder="1" applyAlignment="1">
      <alignment horizontal="right"/>
    </xf>
    <xf numFmtId="0" fontId="1" fillId="0" borderId="2" xfId="0" applyFont="1" applyBorder="1" applyAlignment="1">
      <alignment horizontal="right"/>
    </xf>
    <xf numFmtId="0" fontId="1" fillId="0" borderId="5" xfId="0" applyFont="1" applyBorder="1" applyAlignment="1">
      <alignment horizontal="right"/>
    </xf>
    <xf numFmtId="15" fontId="1" fillId="0" borderId="2" xfId="0" applyNumberFormat="1" applyFont="1" applyBorder="1" applyAlignment="1">
      <alignment horizontal="right"/>
    </xf>
    <xf numFmtId="3" fontId="1" fillId="0" borderId="2" xfId="0" applyNumberFormat="1" applyFont="1" applyBorder="1"/>
    <xf numFmtId="9" fontId="1" fillId="0" borderId="2" xfId="0" applyNumberFormat="1" applyFont="1" applyBorder="1"/>
    <xf numFmtId="0" fontId="0" fillId="0" borderId="0" xfId="0" applyAlignment="1">
      <alignment horizontal="right"/>
    </xf>
    <xf numFmtId="0" fontId="1" fillId="0" borderId="0" xfId="0" applyFont="1" applyAlignment="1">
      <alignment horizontal="right"/>
    </xf>
    <xf numFmtId="0" fontId="2" fillId="0" borderId="0" xfId="1" applyAlignment="1">
      <alignment horizontal="right"/>
    </xf>
    <xf numFmtId="0" fontId="1" fillId="0" borderId="22" xfId="0" applyFont="1" applyBorder="1" applyAlignment="1">
      <alignment horizontal="right"/>
    </xf>
    <xf numFmtId="0" fontId="3" fillId="0" borderId="17" xfId="0" applyFont="1" applyBorder="1"/>
    <xf numFmtId="0" fontId="3" fillId="0" borderId="18" xfId="0" applyFont="1" applyBorder="1" applyAlignment="1">
      <alignment horizontal="right"/>
    </xf>
    <xf numFmtId="10" fontId="0" fillId="0" borderId="7" xfId="0" applyNumberFormat="1" applyBorder="1"/>
    <xf numFmtId="10" fontId="0" fillId="0" borderId="9" xfId="0" applyNumberFormat="1" applyBorder="1"/>
    <xf numFmtId="10" fontId="0" fillId="0" borderId="11" xfId="0" applyNumberFormat="1" applyBorder="1"/>
    <xf numFmtId="0" fontId="1" fillId="0" borderId="4" xfId="0" applyFont="1" applyBorder="1" applyAlignment="1">
      <alignment horizontal="center"/>
    </xf>
    <xf numFmtId="0" fontId="1" fillId="0" borderId="5"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xf>
    <xf numFmtId="0" fontId="1" fillId="0" borderId="19" xfId="0" applyFont="1" applyBorder="1" applyAlignment="1">
      <alignment horizontal="center"/>
    </xf>
    <xf numFmtId="0" fontId="5" fillId="0" borderId="4" xfId="0" applyFont="1" applyBorder="1" applyAlignment="1">
      <alignment horizontal="center"/>
    </xf>
    <xf numFmtId="0" fontId="5" fillId="0" borderId="19" xfId="0" applyFont="1" applyBorder="1" applyAlignment="1">
      <alignment horizontal="center"/>
    </xf>
    <xf numFmtId="0" fontId="5" fillId="0" borderId="5" xfId="0" applyFont="1" applyBorder="1" applyAlignment="1">
      <alignment horizontal="center"/>
    </xf>
    <xf numFmtId="0" fontId="0" fillId="0" borderId="4"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4" fillId="0" borderId="4" xfId="0" applyFont="1" applyBorder="1" applyAlignment="1">
      <alignment horizontal="center"/>
    </xf>
    <xf numFmtId="0" fontId="4" fillId="0" borderId="19" xfId="0" applyFont="1" applyBorder="1" applyAlignment="1">
      <alignment horizontal="center"/>
    </xf>
    <xf numFmtId="0" fontId="4" fillId="0" borderId="5" xfId="0" applyFont="1" applyBorder="1" applyAlignment="1">
      <alignment horizontal="center"/>
    </xf>
    <xf numFmtId="3" fontId="8" fillId="0" borderId="31" xfId="0" applyNumberFormat="1" applyFont="1" applyBorder="1"/>
    <xf numFmtId="0" fontId="8" fillId="0" borderId="31" xfId="0" applyFont="1" applyBorder="1"/>
    <xf numFmtId="3" fontId="8" fillId="0" borderId="32" xfId="0" applyNumberFormat="1" applyFont="1" applyBorder="1"/>
    <xf numFmtId="0" fontId="8" fillId="0" borderId="32" xfId="0" applyFont="1" applyBorder="1"/>
  </cellXfs>
  <cellStyles count="2">
    <cellStyle name="Tengill" xfId="1" builtinId="8"/>
    <cellStyle name="Venjulegt"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178676</xdr:rowOff>
    </xdr:from>
    <xdr:to>
      <xdr:col>17</xdr:col>
      <xdr:colOff>0</xdr:colOff>
      <xdr:row>79</xdr:row>
      <xdr:rowOff>105103</xdr:rowOff>
    </xdr:to>
    <xdr:cxnSp macro="">
      <xdr:nvCxnSpPr>
        <xdr:cNvPr id="3" name="Bein tengilína 2">
          <a:extLst>
            <a:ext uri="{FF2B5EF4-FFF2-40B4-BE49-F238E27FC236}">
              <a16:creationId xmlns:a16="http://schemas.microsoft.com/office/drawing/2014/main" id="{E9DF75AC-BDD6-3C49-FA26-0C74632D0EAC}"/>
            </a:ext>
          </a:extLst>
        </xdr:cNvPr>
        <xdr:cNvCxnSpPr/>
      </xdr:nvCxnSpPr>
      <xdr:spPr>
        <a:xfrm>
          <a:off x="11850414" y="178676"/>
          <a:ext cx="0" cy="13731765"/>
        </a:xfrm>
        <a:prstGeom prst="line">
          <a:avLst/>
        </a:prstGeom>
        <a:ln w="3175">
          <a:solidFill>
            <a:srgbClr val="00B0F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362E-8BAB-451A-918D-721521B44D94}">
  <dimension ref="B1:L39"/>
  <sheetViews>
    <sheetView zoomScale="115" zoomScaleNormal="115" workbookViewId="0">
      <selection activeCell="H34" sqref="H34"/>
    </sheetView>
  </sheetViews>
  <sheetFormatPr defaultRowHeight="14.4" x14ac:dyDescent="0.3"/>
  <cols>
    <col min="1" max="1" width="3.88671875" customWidth="1"/>
    <col min="2" max="2" width="16.88671875" customWidth="1"/>
    <col min="3" max="3" width="16.6640625" customWidth="1"/>
    <col min="4" max="4" width="9" customWidth="1"/>
    <col min="5" max="5" width="16.6640625" customWidth="1"/>
    <col min="6" max="6" width="15.33203125" bestFit="1" customWidth="1"/>
    <col min="7" max="7" width="7.44140625" bestFit="1" customWidth="1"/>
    <col min="12" max="12" width="15.109375" customWidth="1"/>
  </cols>
  <sheetData>
    <row r="1" spans="2:12" ht="21.6" thickBot="1" x14ac:dyDescent="0.45">
      <c r="K1" s="87" t="s">
        <v>0</v>
      </c>
      <c r="L1" s="88"/>
    </row>
    <row r="2" spans="2:12" ht="18.600000000000001" thickBot="1" x14ac:dyDescent="0.4">
      <c r="C2" s="96" t="s">
        <v>1</v>
      </c>
      <c r="D2" s="97"/>
      <c r="E2" s="98"/>
      <c r="K2" s="3" t="s">
        <v>2</v>
      </c>
      <c r="L2" s="4">
        <v>12.73</v>
      </c>
    </row>
    <row r="3" spans="2:12" ht="15" thickBot="1" x14ac:dyDescent="0.35">
      <c r="B3" s="90" t="s">
        <v>3</v>
      </c>
      <c r="C3" s="91"/>
      <c r="D3" s="91"/>
      <c r="E3" s="91"/>
      <c r="F3" s="92"/>
      <c r="K3" s="5" t="s">
        <v>4</v>
      </c>
      <c r="L3" s="9">
        <v>266821.84399999998</v>
      </c>
    </row>
    <row r="4" spans="2:12" ht="15" thickBot="1" x14ac:dyDescent="0.35">
      <c r="B4" s="93" t="s">
        <v>5</v>
      </c>
      <c r="C4" s="94"/>
      <c r="D4" s="94"/>
      <c r="E4" s="94"/>
      <c r="F4" s="95"/>
      <c r="K4" s="5" t="s">
        <v>6</v>
      </c>
      <c r="L4" s="9">
        <f>L3*L2</f>
        <v>3396642.07412</v>
      </c>
    </row>
    <row r="5" spans="2:12" ht="15" thickBot="1" x14ac:dyDescent="0.35">
      <c r="K5" s="5" t="s">
        <v>7</v>
      </c>
      <c r="L5" s="9">
        <f>11157+26132</f>
        <v>37289</v>
      </c>
    </row>
    <row r="6" spans="2:12" ht="15" thickBot="1" x14ac:dyDescent="0.35">
      <c r="B6" s="85" t="s">
        <v>8</v>
      </c>
      <c r="C6" s="89"/>
      <c r="D6" s="86"/>
      <c r="K6" s="5" t="s">
        <v>9</v>
      </c>
      <c r="L6" s="9">
        <f>922134+520553+73261</f>
        <v>1515948</v>
      </c>
    </row>
    <row r="7" spans="2:12" x14ac:dyDescent="0.3">
      <c r="B7" s="51" t="s">
        <v>10</v>
      </c>
      <c r="D7" s="52"/>
      <c r="K7" s="5" t="s">
        <v>11</v>
      </c>
      <c r="L7" s="9">
        <f>L4-L5+L6</f>
        <v>4875301.07412</v>
      </c>
    </row>
    <row r="8" spans="2:12" ht="15" thickBot="1" x14ac:dyDescent="0.35">
      <c r="B8" s="48" t="s">
        <v>12</v>
      </c>
      <c r="C8" s="49"/>
      <c r="D8" s="50"/>
      <c r="K8" s="5" t="s">
        <v>13</v>
      </c>
      <c r="L8" s="10">
        <f>L5-L6</f>
        <v>-1478659</v>
      </c>
    </row>
    <row r="9" spans="2:12" ht="15" thickBot="1" x14ac:dyDescent="0.35">
      <c r="K9" s="5"/>
      <c r="L9" s="6"/>
    </row>
    <row r="10" spans="2:12" ht="15" thickBot="1" x14ac:dyDescent="0.35">
      <c r="B10" s="85" t="s">
        <v>14</v>
      </c>
      <c r="C10" s="86"/>
      <c r="K10" s="7" t="s">
        <v>15</v>
      </c>
      <c r="L10" s="8" t="s">
        <v>16</v>
      </c>
    </row>
    <row r="11" spans="2:12" ht="15" thickBot="1" x14ac:dyDescent="0.35"/>
    <row r="12" spans="2:12" ht="16.2" thickBot="1" x14ac:dyDescent="0.35">
      <c r="C12" s="62">
        <v>2023</v>
      </c>
      <c r="D12" s="32"/>
      <c r="E12" s="32"/>
      <c r="F12" s="62">
        <v>2022</v>
      </c>
    </row>
    <row r="13" spans="2:12" x14ac:dyDescent="0.3">
      <c r="B13" s="3"/>
      <c r="C13" s="33" t="s">
        <v>17</v>
      </c>
      <c r="D13" s="34" t="s">
        <v>18</v>
      </c>
      <c r="E13" s="31"/>
      <c r="F13" s="33" t="s">
        <v>17</v>
      </c>
      <c r="G13" s="34" t="s">
        <v>18</v>
      </c>
    </row>
    <row r="14" spans="2:12" x14ac:dyDescent="0.3">
      <c r="B14" s="37" t="s">
        <v>19</v>
      </c>
      <c r="C14" s="28">
        <v>41166</v>
      </c>
      <c r="D14" s="29">
        <f>C14/$C$17</f>
        <v>0.84531509887266676</v>
      </c>
      <c r="E14" s="37" t="s">
        <v>19</v>
      </c>
      <c r="F14" s="28">
        <v>14868</v>
      </c>
      <c r="G14" s="29">
        <f>F14/$F$17</f>
        <v>0.59864712514092444</v>
      </c>
    </row>
    <row r="15" spans="2:12" x14ac:dyDescent="0.3">
      <c r="B15" s="37" t="s">
        <v>20</v>
      </c>
      <c r="C15" s="28">
        <v>6638</v>
      </c>
      <c r="D15" s="29">
        <f>C15/$C$17</f>
        <v>0.13630670034292286</v>
      </c>
      <c r="E15" s="37" t="s">
        <v>20</v>
      </c>
      <c r="F15" s="28">
        <v>9968</v>
      </c>
      <c r="G15" s="29">
        <f>F15/$F$17</f>
        <v>0.40135287485907556</v>
      </c>
    </row>
    <row r="16" spans="2:12" ht="15" thickBot="1" x14ac:dyDescent="0.35">
      <c r="B16" s="66" t="s">
        <v>21</v>
      </c>
      <c r="C16" s="67">
        <v>895</v>
      </c>
      <c r="D16" s="68">
        <f>C16/$C$17</f>
        <v>1.8378200784410357E-2</v>
      </c>
      <c r="E16" s="66" t="s">
        <v>21</v>
      </c>
      <c r="F16" s="67">
        <v>0</v>
      </c>
      <c r="G16" s="68">
        <f>F16/$C$17</f>
        <v>0</v>
      </c>
    </row>
    <row r="17" spans="2:7" ht="15" thickBot="1" x14ac:dyDescent="0.35">
      <c r="B17" s="71" t="s">
        <v>22</v>
      </c>
      <c r="C17" s="74">
        <f>SUM(C14:C16)</f>
        <v>48699</v>
      </c>
      <c r="D17" s="75">
        <f>SUM(D14:D16)</f>
        <v>0.99999999999999989</v>
      </c>
      <c r="E17" s="72" t="s">
        <v>22</v>
      </c>
      <c r="F17" s="74">
        <f>SUM(F14:F16)</f>
        <v>24836</v>
      </c>
      <c r="G17" s="75">
        <f>SUM(G14:G16)</f>
        <v>1</v>
      </c>
    </row>
    <row r="18" spans="2:7" ht="15" thickBot="1" x14ac:dyDescent="0.35"/>
    <row r="19" spans="2:7" ht="16.2" thickBot="1" x14ac:dyDescent="0.35">
      <c r="C19" s="63">
        <v>2023</v>
      </c>
      <c r="D19" s="32"/>
      <c r="F19" s="63">
        <v>2021</v>
      </c>
    </row>
    <row r="20" spans="2:7" ht="15" thickBot="1" x14ac:dyDescent="0.35">
      <c r="B20" s="61"/>
      <c r="C20" s="65" t="s">
        <v>23</v>
      </c>
      <c r="D20" s="54" t="s">
        <v>18</v>
      </c>
      <c r="E20" s="61"/>
      <c r="F20" s="65" t="s">
        <v>23</v>
      </c>
      <c r="G20" s="40" t="s">
        <v>18</v>
      </c>
    </row>
    <row r="21" spans="2:7" x14ac:dyDescent="0.3">
      <c r="B21" s="64" t="s">
        <v>24</v>
      </c>
      <c r="C21" s="38">
        <v>9430</v>
      </c>
      <c r="D21" s="56">
        <f>C21/$C$25</f>
        <v>0.11525862911899873</v>
      </c>
      <c r="E21" s="64" t="s">
        <v>24</v>
      </c>
      <c r="F21" s="55">
        <v>17940</v>
      </c>
      <c r="G21" s="56">
        <f>F21/$F$25</f>
        <v>0.25941349991323964</v>
      </c>
    </row>
    <row r="22" spans="2:7" x14ac:dyDescent="0.3">
      <c r="B22" s="37" t="s">
        <v>25</v>
      </c>
      <c r="C22" s="28">
        <v>46954</v>
      </c>
      <c r="D22" s="29">
        <f>C22/$C$25</f>
        <v>0.573897526156253</v>
      </c>
      <c r="E22" s="37" t="s">
        <v>25</v>
      </c>
      <c r="F22" s="57">
        <v>38376</v>
      </c>
      <c r="G22" s="29">
        <f>F22/$F$25</f>
        <v>0.55491931285788654</v>
      </c>
    </row>
    <row r="23" spans="2:7" x14ac:dyDescent="0.3">
      <c r="B23" s="37" t="s">
        <v>26</v>
      </c>
      <c r="C23" s="28">
        <v>8876</v>
      </c>
      <c r="D23" s="29">
        <f>C23/$C$25</f>
        <v>0.10848733744010951</v>
      </c>
      <c r="E23" s="37" t="s">
        <v>26</v>
      </c>
      <c r="F23" s="57">
        <v>12840</v>
      </c>
      <c r="G23" s="29">
        <f>F23/$F$25</f>
        <v>0.18566718722887385</v>
      </c>
    </row>
    <row r="24" spans="2:7" ht="15" thickBot="1" x14ac:dyDescent="0.35">
      <c r="B24" s="66" t="s">
        <v>27</v>
      </c>
      <c r="C24" s="67">
        <v>16556</v>
      </c>
      <c r="D24" s="68">
        <f>C24/$C$25</f>
        <v>0.20235650728463869</v>
      </c>
      <c r="E24" s="66" t="s">
        <v>27</v>
      </c>
      <c r="F24" s="69" t="s">
        <v>28</v>
      </c>
      <c r="G24" s="70" t="s">
        <v>28</v>
      </c>
    </row>
    <row r="25" spans="2:7" ht="15" thickBot="1" x14ac:dyDescent="0.35">
      <c r="B25" s="73" t="s">
        <v>22</v>
      </c>
      <c r="C25" s="74">
        <f>SUM(C21:C24)</f>
        <v>81816</v>
      </c>
      <c r="D25" s="75">
        <f>SUM(D21:D24)</f>
        <v>1</v>
      </c>
      <c r="E25" s="73" t="s">
        <v>22</v>
      </c>
      <c r="F25" s="74">
        <f>SUM(F21:F23)</f>
        <v>69156</v>
      </c>
      <c r="G25" s="75">
        <f>SUM(G21:G23)</f>
        <v>1</v>
      </c>
    </row>
    <row r="26" spans="2:7" ht="15" thickBot="1" x14ac:dyDescent="0.35"/>
    <row r="27" spans="2:7" ht="16.2" thickBot="1" x14ac:dyDescent="0.35">
      <c r="B27" s="39" t="s">
        <v>29</v>
      </c>
      <c r="C27" s="40" t="s">
        <v>30</v>
      </c>
      <c r="E27" s="80" t="s">
        <v>244</v>
      </c>
      <c r="F27" s="81" t="s">
        <v>245</v>
      </c>
    </row>
    <row r="28" spans="2:7" x14ac:dyDescent="0.3">
      <c r="B28" s="60" t="s">
        <v>16</v>
      </c>
      <c r="C28" s="30" t="s">
        <v>31</v>
      </c>
      <c r="E28" s="3" t="s">
        <v>246</v>
      </c>
      <c r="F28" s="82">
        <v>0.40679999999999999</v>
      </c>
    </row>
    <row r="29" spans="2:7" x14ac:dyDescent="0.3">
      <c r="B29" s="58" t="s">
        <v>32</v>
      </c>
      <c r="C29" s="6" t="s">
        <v>33</v>
      </c>
      <c r="E29" s="5" t="s">
        <v>247</v>
      </c>
      <c r="F29" s="83">
        <v>0.35770000000000002</v>
      </c>
    </row>
    <row r="30" spans="2:7" x14ac:dyDescent="0.3">
      <c r="B30" s="58" t="s">
        <v>34</v>
      </c>
      <c r="C30" s="6" t="s">
        <v>35</v>
      </c>
      <c r="E30" s="5" t="s">
        <v>248</v>
      </c>
      <c r="F30" s="83">
        <v>3.5700000000000003E-2</v>
      </c>
    </row>
    <row r="31" spans="2:7" x14ac:dyDescent="0.3">
      <c r="B31" s="58" t="s">
        <v>36</v>
      </c>
      <c r="C31" s="6" t="s">
        <v>35</v>
      </c>
      <c r="E31" s="5" t="s">
        <v>249</v>
      </c>
      <c r="F31" s="83">
        <v>3.4099999999999998E-2</v>
      </c>
    </row>
    <row r="32" spans="2:7" x14ac:dyDescent="0.3">
      <c r="B32" s="58" t="s">
        <v>37</v>
      </c>
      <c r="C32" s="6" t="s">
        <v>35</v>
      </c>
      <c r="E32" s="5" t="s">
        <v>250</v>
      </c>
      <c r="F32" s="83">
        <v>3.0300000000000001E-2</v>
      </c>
    </row>
    <row r="33" spans="2:6" ht="15" thickBot="1" x14ac:dyDescent="0.35">
      <c r="B33" s="58" t="s">
        <v>38</v>
      </c>
      <c r="C33" s="6" t="s">
        <v>35</v>
      </c>
      <c r="E33" s="7" t="s">
        <v>251</v>
      </c>
      <c r="F33" s="84">
        <v>0.13539999999999999</v>
      </c>
    </row>
    <row r="34" spans="2:6" x14ac:dyDescent="0.3">
      <c r="B34" s="58" t="s">
        <v>39</v>
      </c>
      <c r="C34" s="6" t="s">
        <v>35</v>
      </c>
    </row>
    <row r="35" spans="2:6" ht="15" thickBot="1" x14ac:dyDescent="0.35">
      <c r="B35" s="59" t="s">
        <v>40</v>
      </c>
      <c r="C35" s="8" t="s">
        <v>35</v>
      </c>
    </row>
    <row r="36" spans="2:6" ht="15" thickBot="1" x14ac:dyDescent="0.35"/>
    <row r="37" spans="2:6" ht="15" thickBot="1" x14ac:dyDescent="0.35">
      <c r="B37" s="53" t="s">
        <v>41</v>
      </c>
      <c r="C37" s="61" t="s">
        <v>30</v>
      </c>
    </row>
    <row r="38" spans="2:6" x14ac:dyDescent="0.3">
      <c r="B38" s="60" t="s">
        <v>16</v>
      </c>
      <c r="C38" s="30" t="s">
        <v>15</v>
      </c>
    </row>
    <row r="39" spans="2:6" ht="15" thickBot="1" x14ac:dyDescent="0.35">
      <c r="B39" s="59" t="s">
        <v>42</v>
      </c>
      <c r="C39" s="8"/>
    </row>
  </sheetData>
  <mergeCells count="6">
    <mergeCell ref="B10:C10"/>
    <mergeCell ref="K1:L1"/>
    <mergeCell ref="B6:D6"/>
    <mergeCell ref="B3:F3"/>
    <mergeCell ref="B4:F4"/>
    <mergeCell ref="C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19AFF-45B3-4525-BC60-D3EB200537FF}">
  <dimension ref="A1:AQ84"/>
  <sheetViews>
    <sheetView tabSelected="1" zoomScale="145" zoomScaleNormal="145" workbookViewId="0">
      <pane xSplit="2" ySplit="2" topLeftCell="J11" activePane="bottomRight" state="frozen"/>
      <selection pane="topRight" activeCell="C1" sqref="C1"/>
      <selection pane="bottomLeft" activeCell="A3" sqref="A3"/>
      <selection pane="bottomRight" activeCell="O29" sqref="O29"/>
    </sheetView>
  </sheetViews>
  <sheetFormatPr defaultRowHeight="14.4" x14ac:dyDescent="0.3"/>
  <cols>
    <col min="1" max="1" width="7.44140625" customWidth="1"/>
    <col min="2" max="2" width="32" customWidth="1"/>
    <col min="23" max="24" width="10.44140625" bestFit="1" customWidth="1"/>
  </cols>
  <sheetData>
    <row r="1" spans="1:43" x14ac:dyDescent="0.3">
      <c r="A1" s="13" t="s">
        <v>43</v>
      </c>
    </row>
    <row r="2" spans="1:43" s="35" customFormat="1" x14ac:dyDescent="0.3">
      <c r="E2" s="35" t="s">
        <v>44</v>
      </c>
      <c r="F2" s="35" t="s">
        <v>45</v>
      </c>
      <c r="G2" s="35" t="s">
        <v>46</v>
      </c>
      <c r="H2" s="35" t="s">
        <v>47</v>
      </c>
      <c r="I2" s="35" t="s">
        <v>48</v>
      </c>
      <c r="J2" s="35" t="s">
        <v>49</v>
      </c>
      <c r="K2" s="35" t="s">
        <v>50</v>
      </c>
      <c r="L2" s="35" t="s">
        <v>51</v>
      </c>
      <c r="M2" s="35" t="s">
        <v>52</v>
      </c>
      <c r="N2" s="35" t="s">
        <v>53</v>
      </c>
      <c r="O2" s="35" t="s">
        <v>54</v>
      </c>
      <c r="P2" s="35" t="s">
        <v>55</v>
      </c>
      <c r="Q2" s="35" t="s">
        <v>252</v>
      </c>
      <c r="R2" s="35" t="s">
        <v>253</v>
      </c>
      <c r="S2" s="35" t="s">
        <v>254</v>
      </c>
      <c r="T2" s="35" t="s">
        <v>255</v>
      </c>
      <c r="V2" s="35">
        <v>2021</v>
      </c>
      <c r="W2" s="35">
        <v>2022</v>
      </c>
      <c r="X2" s="35">
        <v>2023</v>
      </c>
      <c r="Y2" s="35">
        <v>2024</v>
      </c>
      <c r="Z2" s="35">
        <v>2025</v>
      </c>
      <c r="AA2" s="35">
        <v>2026</v>
      </c>
      <c r="AB2" s="35">
        <v>2027</v>
      </c>
      <c r="AC2" s="35">
        <v>2028</v>
      </c>
      <c r="AD2" s="35">
        <v>2029</v>
      </c>
      <c r="AE2" s="35">
        <v>2030</v>
      </c>
      <c r="AF2" s="35">
        <v>2031</v>
      </c>
      <c r="AG2" s="35">
        <v>2032</v>
      </c>
      <c r="AH2" s="35">
        <v>2033</v>
      </c>
      <c r="AI2" s="35">
        <v>2034</v>
      </c>
      <c r="AJ2" s="35">
        <v>2035</v>
      </c>
      <c r="AK2" s="35">
        <v>2036</v>
      </c>
      <c r="AL2" s="35">
        <v>2037</v>
      </c>
      <c r="AM2" s="35">
        <v>2038</v>
      </c>
      <c r="AN2" s="35">
        <v>2039</v>
      </c>
      <c r="AO2" s="35">
        <v>2040</v>
      </c>
      <c r="AP2" s="35">
        <v>2041</v>
      </c>
      <c r="AQ2" s="35">
        <v>2042</v>
      </c>
    </row>
    <row r="3" spans="1:43" s="46" customFormat="1" x14ac:dyDescent="0.3">
      <c r="B3" s="46" t="s">
        <v>17</v>
      </c>
      <c r="Q3" s="46">
        <v>12.43</v>
      </c>
      <c r="W3" s="46">
        <v>24.835999999999999</v>
      </c>
      <c r="X3" s="46">
        <v>48.698999999999998</v>
      </c>
    </row>
    <row r="4" spans="1:43" s="27" customFormat="1" x14ac:dyDescent="0.3">
      <c r="B4" s="27" t="s">
        <v>56</v>
      </c>
      <c r="Q4" s="27">
        <v>24.422000000000001</v>
      </c>
      <c r="V4" s="27">
        <v>36.771999999999998</v>
      </c>
      <c r="W4" s="27">
        <v>58.192999999999998</v>
      </c>
      <c r="X4" s="27">
        <v>42.734999999999999</v>
      </c>
    </row>
    <row r="5" spans="1:43" s="27" customFormat="1" x14ac:dyDescent="0.3">
      <c r="B5" s="27" t="s">
        <v>57</v>
      </c>
      <c r="Q5" s="27">
        <v>4.2000000000000003E-2</v>
      </c>
      <c r="V5" s="27">
        <v>2.9119999999999999</v>
      </c>
      <c r="W5" s="27">
        <v>1.988</v>
      </c>
      <c r="X5" s="27">
        <v>1.948</v>
      </c>
    </row>
    <row r="6" spans="1:43" s="27" customFormat="1" x14ac:dyDescent="0.3">
      <c r="B6" s="27" t="s">
        <v>58</v>
      </c>
      <c r="Q6" s="27">
        <v>19.957000000000001</v>
      </c>
      <c r="W6" s="27">
        <v>64.094999999999999</v>
      </c>
      <c r="X6" s="27">
        <v>160.85599999999999</v>
      </c>
    </row>
    <row r="7" spans="1:43" s="36" customFormat="1" x14ac:dyDescent="0.3">
      <c r="B7" s="36" t="s">
        <v>59</v>
      </c>
      <c r="Q7" s="36">
        <f>Q3+Q4+Q5-Q6</f>
        <v>16.937000000000005</v>
      </c>
      <c r="V7" s="36">
        <f>V3+V4+V5-V6</f>
        <v>39.683999999999997</v>
      </c>
      <c r="W7" s="36">
        <f>W3+W4+W5-W6</f>
        <v>20.921999999999997</v>
      </c>
      <c r="X7" s="36">
        <f>X3+X4+X5-X6</f>
        <v>-67.474000000000004</v>
      </c>
      <c r="Y7" s="36">
        <f>Y3+Y4+Y5-Y6</f>
        <v>0</v>
      </c>
    </row>
    <row r="8" spans="1:43" s="27" customFormat="1" x14ac:dyDescent="0.3">
      <c r="B8" s="27" t="s">
        <v>60</v>
      </c>
      <c r="Q8" s="27">
        <v>49.868000000000002</v>
      </c>
      <c r="V8" s="27">
        <v>191.006</v>
      </c>
      <c r="W8" s="27">
        <v>180.62200000000001</v>
      </c>
      <c r="X8" s="27">
        <v>210.827</v>
      </c>
    </row>
    <row r="9" spans="1:43" s="27" customFormat="1" x14ac:dyDescent="0.3">
      <c r="B9" s="27" t="s">
        <v>61</v>
      </c>
      <c r="Q9" s="27">
        <v>15.488</v>
      </c>
      <c r="V9" s="27">
        <v>84.134</v>
      </c>
      <c r="W9" s="27">
        <v>186.74199999999999</v>
      </c>
      <c r="X9" s="27">
        <v>76.558999999999997</v>
      </c>
    </row>
    <row r="10" spans="1:43" s="36" customFormat="1" x14ac:dyDescent="0.3">
      <c r="B10" s="36" t="s">
        <v>62</v>
      </c>
      <c r="Q10" s="36">
        <f>Q7-Q8-Q9</f>
        <v>-48.418999999999997</v>
      </c>
      <c r="V10" s="36">
        <f t="shared" ref="V10:W10" si="0">V7-V8-V9</f>
        <v>-235.45600000000002</v>
      </c>
      <c r="W10" s="36">
        <f t="shared" si="0"/>
        <v>-346.44200000000001</v>
      </c>
      <c r="X10" s="36">
        <f>X7-X8-X9</f>
        <v>-354.86</v>
      </c>
      <c r="Y10" s="36">
        <f>Y7-Y8-Y9</f>
        <v>0</v>
      </c>
    </row>
    <row r="11" spans="1:43" s="27" customFormat="1" x14ac:dyDescent="0.3">
      <c r="B11" s="27" t="s">
        <v>63</v>
      </c>
      <c r="Q11" s="27">
        <v>0</v>
      </c>
      <c r="V11" s="27">
        <v>2.4180000000000001</v>
      </c>
      <c r="W11" s="27">
        <v>2.59</v>
      </c>
      <c r="X11" s="27">
        <v>7.1529999999999996</v>
      </c>
    </row>
    <row r="12" spans="1:43" s="27" customFormat="1" x14ac:dyDescent="0.3">
      <c r="B12" s="27" t="s">
        <v>64</v>
      </c>
      <c r="Q12" s="27">
        <v>0</v>
      </c>
      <c r="X12" s="27">
        <v>21.518999999999998</v>
      </c>
    </row>
    <row r="13" spans="1:43" s="27" customFormat="1" x14ac:dyDescent="0.3">
      <c r="B13" s="27" t="s">
        <v>65</v>
      </c>
      <c r="Q13" s="27">
        <v>0.78300000000000003</v>
      </c>
      <c r="V13" s="27">
        <v>51.567999999999998</v>
      </c>
      <c r="W13" s="27">
        <v>2.5489999999999999</v>
      </c>
      <c r="X13" s="27">
        <v>4.8230000000000004</v>
      </c>
    </row>
    <row r="14" spans="1:43" s="27" customFormat="1" x14ac:dyDescent="0.3">
      <c r="B14" s="27" t="s">
        <v>66</v>
      </c>
      <c r="Q14" s="27">
        <v>184.06299999999999</v>
      </c>
      <c r="V14" s="27">
        <v>117.361</v>
      </c>
      <c r="W14" s="27">
        <v>188.41900000000001</v>
      </c>
      <c r="X14" s="27">
        <v>267.15699999999998</v>
      </c>
    </row>
    <row r="15" spans="1:43" s="27" customFormat="1" x14ac:dyDescent="0.3">
      <c r="B15" s="27" t="s">
        <v>67</v>
      </c>
      <c r="Q15" s="27">
        <v>6.532</v>
      </c>
      <c r="V15" s="27">
        <v>2.681</v>
      </c>
      <c r="W15" s="27">
        <v>10.566000000000001</v>
      </c>
      <c r="X15" s="27">
        <v>5.1829999999999998</v>
      </c>
    </row>
    <row r="16" spans="1:43" s="27" customFormat="1" x14ac:dyDescent="0.3">
      <c r="B16" s="27" t="s">
        <v>68</v>
      </c>
      <c r="V16" s="27">
        <v>151.78800000000001</v>
      </c>
      <c r="W16" s="27">
        <v>27.311</v>
      </c>
    </row>
    <row r="17" spans="2:24" s="36" customFormat="1" x14ac:dyDescent="0.3">
      <c r="B17" s="36" t="s">
        <v>69</v>
      </c>
      <c r="Q17" s="36">
        <f>-Q11-Q12+Q13-Q14+Q15</f>
        <v>-176.74799999999999</v>
      </c>
      <c r="V17" s="36">
        <f>-V11+V13-V14+V15+V16</f>
        <v>86.257999999999996</v>
      </c>
      <c r="W17" s="36">
        <f>-W11+W13-W14+W15-W16</f>
        <v>-205.20500000000001</v>
      </c>
      <c r="X17" s="36">
        <f>-X11-X12+X13-X14-X15</f>
        <v>-296.18899999999996</v>
      </c>
    </row>
    <row r="18" spans="2:24" s="36" customFormat="1" x14ac:dyDescent="0.3">
      <c r="B18" s="36" t="s">
        <v>70</v>
      </c>
      <c r="Q18" s="36">
        <f>Q10-Q11-Q12+Q13-Q14+Q15</f>
        <v>-225.16699999999997</v>
      </c>
      <c r="V18" s="36">
        <f>V10-V11+V13-V14+V15+V16</f>
        <v>-149.19800000000004</v>
      </c>
      <c r="W18" s="36">
        <f>W10-W11+W13-W14+W15-W16</f>
        <v>-551.64700000000005</v>
      </c>
      <c r="X18" s="36">
        <f>X10-X11-X12+X13-X14-X15</f>
        <v>-651.04899999999998</v>
      </c>
    </row>
    <row r="19" spans="2:24" s="27" customFormat="1" x14ac:dyDescent="0.3">
      <c r="B19" s="27" t="s">
        <v>71</v>
      </c>
      <c r="Q19" s="27">
        <v>6.4379999999999997</v>
      </c>
      <c r="V19" s="27">
        <v>47.694000000000003</v>
      </c>
      <c r="W19" s="27">
        <v>38.067</v>
      </c>
      <c r="X19" s="27">
        <v>99.317999999999998</v>
      </c>
    </row>
    <row r="20" spans="2:24" s="47" customFormat="1" ht="15" thickBot="1" x14ac:dyDescent="0.35">
      <c r="B20" s="47" t="s">
        <v>72</v>
      </c>
      <c r="Q20" s="47">
        <f>Q18+Q19</f>
        <v>-218.72899999999998</v>
      </c>
      <c r="V20" s="47">
        <f>V18+V19</f>
        <v>-101.50400000000003</v>
      </c>
      <c r="W20" s="47">
        <f>W18+W19</f>
        <v>-513.58000000000004</v>
      </c>
      <c r="X20" s="47">
        <f>X18+X19</f>
        <v>-551.73099999999999</v>
      </c>
    </row>
    <row r="21" spans="2:24" ht="15" thickTop="1" x14ac:dyDescent="0.3">
      <c r="B21" s="27" t="s">
        <v>73</v>
      </c>
    </row>
    <row r="22" spans="2:24" x14ac:dyDescent="0.3">
      <c r="B22" s="27" t="s">
        <v>4</v>
      </c>
    </row>
    <row r="23" spans="2:24" x14ac:dyDescent="0.3">
      <c r="B23" s="27"/>
    </row>
    <row r="24" spans="2:24" s="100" customFormat="1" x14ac:dyDescent="0.3">
      <c r="B24" s="99" t="s">
        <v>256</v>
      </c>
      <c r="Q24" s="99">
        <f>Q76+Q77+Q78</f>
        <v>54.296999999999997</v>
      </c>
      <c r="X24" s="99">
        <f>X76+X77+X78</f>
        <v>-57.20599999999996</v>
      </c>
    </row>
    <row r="25" spans="2:24" s="102" customFormat="1" x14ac:dyDescent="0.3">
      <c r="B25" s="101" t="s">
        <v>257</v>
      </c>
      <c r="Q25" s="101">
        <f>Q76+Q79</f>
        <v>-79.472000000000008</v>
      </c>
    </row>
    <row r="27" spans="2:24" s="27" customFormat="1" x14ac:dyDescent="0.3">
      <c r="B27" s="27" t="s">
        <v>74</v>
      </c>
      <c r="Q27" s="27">
        <v>235.39400000000001</v>
      </c>
      <c r="W27" s="27">
        <v>220.59399999999999</v>
      </c>
      <c r="X27" s="27">
        <v>236.779</v>
      </c>
    </row>
    <row r="28" spans="2:24" s="27" customFormat="1" x14ac:dyDescent="0.3">
      <c r="B28" s="27" t="s">
        <v>75</v>
      </c>
      <c r="Q28" s="27">
        <v>127.44</v>
      </c>
      <c r="W28" s="27">
        <v>47.500999999999998</v>
      </c>
      <c r="X28" s="27">
        <v>119.80200000000001</v>
      </c>
    </row>
    <row r="29" spans="2:24" s="27" customFormat="1" x14ac:dyDescent="0.3">
      <c r="B29" s="27" t="s">
        <v>76</v>
      </c>
      <c r="Q29" s="27">
        <f>11.779+19.37</f>
        <v>31.149000000000001</v>
      </c>
      <c r="W29" s="27">
        <f>11.643+25.625</f>
        <v>37.268000000000001</v>
      </c>
      <c r="X29" s="27">
        <f>12.058+19.076</f>
        <v>31.134</v>
      </c>
    </row>
    <row r="30" spans="2:24" s="27" customFormat="1" x14ac:dyDescent="0.3">
      <c r="B30" s="27" t="s">
        <v>77</v>
      </c>
      <c r="Q30" s="27">
        <v>10.356</v>
      </c>
      <c r="W30" s="27">
        <v>3.286</v>
      </c>
      <c r="X30" s="27">
        <v>10.856</v>
      </c>
    </row>
    <row r="31" spans="2:24" s="27" customFormat="1" x14ac:dyDescent="0.3">
      <c r="B31" s="27" t="s">
        <v>78</v>
      </c>
      <c r="Q31" s="27">
        <v>18.494</v>
      </c>
      <c r="W31" s="27">
        <v>48.567999999999998</v>
      </c>
      <c r="X31" s="27">
        <v>18.494</v>
      </c>
    </row>
    <row r="32" spans="2:24" s="27" customFormat="1" x14ac:dyDescent="0.3">
      <c r="B32" s="27" t="s">
        <v>79</v>
      </c>
      <c r="Q32" s="27">
        <v>2.2850000000000001</v>
      </c>
      <c r="W32" s="27">
        <v>5.78</v>
      </c>
      <c r="X32" s="27">
        <v>2.2440000000000002</v>
      </c>
    </row>
    <row r="33" spans="2:24" s="27" customFormat="1" x14ac:dyDescent="0.3">
      <c r="B33" s="27" t="s">
        <v>80</v>
      </c>
      <c r="Q33" s="27">
        <v>25</v>
      </c>
      <c r="W33" s="27">
        <v>25.187000000000001</v>
      </c>
      <c r="X33" s="27">
        <v>26.132000000000001</v>
      </c>
    </row>
    <row r="34" spans="2:24" s="27" customFormat="1" x14ac:dyDescent="0.3">
      <c r="B34" s="27" t="s">
        <v>81</v>
      </c>
      <c r="Q34" s="27">
        <v>318.22300000000001</v>
      </c>
      <c r="W34" s="27">
        <v>209.49600000000001</v>
      </c>
      <c r="X34" s="27">
        <v>309.80700000000002</v>
      </c>
    </row>
    <row r="35" spans="2:24" s="46" customFormat="1" x14ac:dyDescent="0.3">
      <c r="B35" s="46" t="s">
        <v>82</v>
      </c>
      <c r="M35" s="46">
        <f>SUM(M27:M34)</f>
        <v>0</v>
      </c>
      <c r="N35" s="46">
        <f>SUM(N27:N34)</f>
        <v>0</v>
      </c>
      <c r="O35" s="46">
        <f>SUM(O27:O34)</f>
        <v>0</v>
      </c>
      <c r="P35" s="46">
        <f>SUM(P27:P34)</f>
        <v>0</v>
      </c>
      <c r="Q35" s="46">
        <f>SUM(Q27:Q34)</f>
        <v>768.34100000000001</v>
      </c>
      <c r="W35" s="46">
        <f>SUM(W27:W34)</f>
        <v>597.67999999999995</v>
      </c>
      <c r="X35" s="46">
        <f>SUM(X27:X34)</f>
        <v>755.24800000000005</v>
      </c>
    </row>
    <row r="36" spans="2:24" s="27" customFormat="1" x14ac:dyDescent="0.3"/>
    <row r="37" spans="2:24" s="27" customFormat="1" x14ac:dyDescent="0.3">
      <c r="B37" s="27" t="s">
        <v>83</v>
      </c>
      <c r="Q37" s="27">
        <v>92.236000000000004</v>
      </c>
      <c r="W37" s="27">
        <v>71.47</v>
      </c>
      <c r="X37" s="27">
        <v>74.433000000000007</v>
      </c>
    </row>
    <row r="38" spans="2:24" s="27" customFormat="1" x14ac:dyDescent="0.3">
      <c r="B38" s="27" t="s">
        <v>84</v>
      </c>
      <c r="Q38" s="27">
        <v>41.252000000000002</v>
      </c>
      <c r="W38" s="27">
        <v>32.972000000000001</v>
      </c>
      <c r="X38" s="27">
        <v>41.292000000000002</v>
      </c>
    </row>
    <row r="39" spans="2:24" s="27" customFormat="1" x14ac:dyDescent="0.3">
      <c r="B39" s="27" t="s">
        <v>77</v>
      </c>
      <c r="Q39" s="27">
        <v>30.059000000000001</v>
      </c>
      <c r="W39" s="27">
        <v>25.37</v>
      </c>
      <c r="X39" s="27">
        <v>35.192999999999998</v>
      </c>
    </row>
    <row r="40" spans="2:24" s="27" customFormat="1" x14ac:dyDescent="0.3">
      <c r="B40" s="27" t="s">
        <v>85</v>
      </c>
      <c r="Q40" s="27">
        <v>62.9</v>
      </c>
      <c r="W40" s="27">
        <v>32.948999999999998</v>
      </c>
      <c r="X40" s="27">
        <v>31.870999999999999</v>
      </c>
    </row>
    <row r="41" spans="2:24" s="27" customFormat="1" x14ac:dyDescent="0.3">
      <c r="B41" s="27" t="s">
        <v>86</v>
      </c>
      <c r="Q41" s="27">
        <v>1.038</v>
      </c>
      <c r="W41" s="27">
        <v>1.548</v>
      </c>
      <c r="X41" s="27">
        <v>0.89600000000000002</v>
      </c>
    </row>
    <row r="42" spans="2:24" s="27" customFormat="1" x14ac:dyDescent="0.3">
      <c r="B42" s="27" t="s">
        <v>7</v>
      </c>
      <c r="Q42" s="27">
        <v>64.811000000000007</v>
      </c>
      <c r="W42" s="27">
        <v>66.427000000000007</v>
      </c>
      <c r="X42" s="27">
        <v>11.157</v>
      </c>
    </row>
    <row r="43" spans="2:24" s="46" customFormat="1" x14ac:dyDescent="0.3">
      <c r="B43" s="46" t="s">
        <v>87</v>
      </c>
      <c r="M43" s="46">
        <f t="shared" ref="M43:Q43" si="1">SUM(M37:M42)</f>
        <v>0</v>
      </c>
      <c r="N43" s="46">
        <f t="shared" si="1"/>
        <v>0</v>
      </c>
      <c r="O43" s="46">
        <f t="shared" si="1"/>
        <v>0</v>
      </c>
      <c r="P43" s="46">
        <f t="shared" si="1"/>
        <v>0</v>
      </c>
      <c r="Q43" s="46">
        <f t="shared" si="1"/>
        <v>292.29600000000005</v>
      </c>
      <c r="W43" s="46">
        <f>SUM(W37:W42)</f>
        <v>230.73600000000005</v>
      </c>
      <c r="X43" s="46">
        <f>SUM(X37:X42)</f>
        <v>194.84200000000001</v>
      </c>
    </row>
    <row r="44" spans="2:24" s="46" customFormat="1" x14ac:dyDescent="0.3">
      <c r="B44" s="46" t="s">
        <v>88</v>
      </c>
      <c r="M44" s="46">
        <f t="shared" ref="M44:Q44" si="2">M43+M35</f>
        <v>0</v>
      </c>
      <c r="N44" s="46">
        <f t="shared" si="2"/>
        <v>0</v>
      </c>
      <c r="O44" s="46">
        <f t="shared" si="2"/>
        <v>0</v>
      </c>
      <c r="P44" s="46">
        <f t="shared" si="2"/>
        <v>0</v>
      </c>
      <c r="Q44" s="46">
        <f t="shared" si="2"/>
        <v>1060.6370000000002</v>
      </c>
      <c r="W44" s="46">
        <f>W43+W35</f>
        <v>828.41599999999994</v>
      </c>
      <c r="X44" s="46">
        <f>X43+X35</f>
        <v>950.09</v>
      </c>
    </row>
    <row r="45" spans="2:24" s="27" customFormat="1" x14ac:dyDescent="0.3"/>
    <row r="46" spans="2:24" s="27" customFormat="1" x14ac:dyDescent="0.3">
      <c r="B46" s="27" t="s">
        <v>89</v>
      </c>
      <c r="Q46" s="27">
        <v>2.6040000000000001</v>
      </c>
      <c r="W46" s="27">
        <v>2.1259999999999999</v>
      </c>
      <c r="X46" s="27">
        <v>2.2789999999999999</v>
      </c>
    </row>
    <row r="47" spans="2:24" s="27" customFormat="1" x14ac:dyDescent="0.3">
      <c r="B47" s="27" t="s">
        <v>90</v>
      </c>
      <c r="Q47" s="27">
        <v>1726.61</v>
      </c>
      <c r="W47" s="27">
        <v>1058.432</v>
      </c>
      <c r="X47" s="27">
        <v>1229.69</v>
      </c>
    </row>
    <row r="48" spans="2:24" s="27" customFormat="1" x14ac:dyDescent="0.3">
      <c r="B48" s="27" t="s">
        <v>91</v>
      </c>
      <c r="Q48" s="27">
        <v>38.883000000000003</v>
      </c>
      <c r="W48" s="27">
        <v>30.582000000000001</v>
      </c>
      <c r="X48" s="27">
        <v>42.911000000000001</v>
      </c>
    </row>
    <row r="49" spans="2:24" s="27" customFormat="1" x14ac:dyDescent="0.3">
      <c r="B49" s="27" t="s">
        <v>92</v>
      </c>
      <c r="Q49" s="27">
        <v>-2.3479999999999999</v>
      </c>
      <c r="W49" s="27">
        <v>-1.4419999999999999</v>
      </c>
      <c r="X49" s="27">
        <v>-1.528</v>
      </c>
    </row>
    <row r="50" spans="2:24" s="27" customFormat="1" x14ac:dyDescent="0.3">
      <c r="B50" s="27" t="s">
        <v>93</v>
      </c>
      <c r="Q50" s="27">
        <v>-2424.5740000000001</v>
      </c>
      <c r="W50" s="27">
        <v>-1654.114</v>
      </c>
      <c r="X50" s="27">
        <v>-2205.8449999999998</v>
      </c>
    </row>
    <row r="51" spans="2:24" s="46" customFormat="1" x14ac:dyDescent="0.3">
      <c r="B51" s="46" t="s">
        <v>94</v>
      </c>
      <c r="M51" s="46">
        <f t="shared" ref="M51:Q51" si="3">SUM(M46:M50)</f>
        <v>0</v>
      </c>
      <c r="N51" s="46">
        <f t="shared" si="3"/>
        <v>0</v>
      </c>
      <c r="O51" s="46">
        <f t="shared" si="3"/>
        <v>0</v>
      </c>
      <c r="P51" s="46">
        <f t="shared" si="3"/>
        <v>0</v>
      </c>
      <c r="Q51" s="46">
        <f t="shared" si="3"/>
        <v>-658.82500000000005</v>
      </c>
      <c r="W51" s="46">
        <f>SUM(W46:W50)</f>
        <v>-564.41599999999994</v>
      </c>
      <c r="X51" s="46">
        <f>SUM(X46:X50)</f>
        <v>-932.49299999999971</v>
      </c>
    </row>
    <row r="52" spans="2:24" s="27" customFormat="1" x14ac:dyDescent="0.3"/>
    <row r="53" spans="2:24" s="27" customFormat="1" x14ac:dyDescent="0.3">
      <c r="B53" s="27" t="s">
        <v>95</v>
      </c>
      <c r="Q53" s="27">
        <v>940.59299999999996</v>
      </c>
      <c r="W53" s="27">
        <v>744.654</v>
      </c>
      <c r="X53" s="27">
        <v>922.13400000000001</v>
      </c>
    </row>
    <row r="54" spans="2:24" s="27" customFormat="1" x14ac:dyDescent="0.3">
      <c r="B54" s="27" t="s">
        <v>96</v>
      </c>
      <c r="Q54" s="27">
        <v>330.976</v>
      </c>
      <c r="W54" s="27">
        <v>380.23200000000003</v>
      </c>
      <c r="X54" s="27">
        <v>520.553</v>
      </c>
    </row>
    <row r="55" spans="2:24" s="27" customFormat="1" x14ac:dyDescent="0.3">
      <c r="B55" s="27" t="s">
        <v>97</v>
      </c>
      <c r="Q55" s="27">
        <v>110.58499999999999</v>
      </c>
      <c r="W55" s="27">
        <v>7.44</v>
      </c>
    </row>
    <row r="56" spans="2:24" s="27" customFormat="1" x14ac:dyDescent="0.3">
      <c r="B56" s="27" t="s">
        <v>98</v>
      </c>
      <c r="Q56" s="27">
        <v>88.912999999999997</v>
      </c>
      <c r="W56" s="27">
        <v>35.369</v>
      </c>
      <c r="X56" s="27">
        <v>105.63200000000001</v>
      </c>
    </row>
    <row r="57" spans="2:24" s="27" customFormat="1" x14ac:dyDescent="0.3">
      <c r="B57" s="27" t="s">
        <v>99</v>
      </c>
      <c r="Q57" s="27">
        <v>0</v>
      </c>
      <c r="W57" s="27">
        <v>0.54400000000000004</v>
      </c>
    </row>
    <row r="58" spans="2:24" s="27" customFormat="1" x14ac:dyDescent="0.3">
      <c r="B58" s="27" t="s">
        <v>100</v>
      </c>
      <c r="Q58" s="27">
        <v>88.912999999999997</v>
      </c>
      <c r="W58" s="27">
        <v>57.017000000000003</v>
      </c>
      <c r="X58" s="27">
        <v>73.260999999999996</v>
      </c>
    </row>
    <row r="59" spans="2:24" s="27" customFormat="1" x14ac:dyDescent="0.3">
      <c r="B59" s="27" t="s">
        <v>101</v>
      </c>
      <c r="Q59" s="27">
        <v>1.61</v>
      </c>
      <c r="W59" s="27">
        <v>0.309</v>
      </c>
      <c r="X59" s="27">
        <v>5.2999999999999999E-2</v>
      </c>
    </row>
    <row r="60" spans="2:24" s="46" customFormat="1" x14ac:dyDescent="0.3">
      <c r="B60" s="46" t="s">
        <v>82</v>
      </c>
      <c r="M60" s="46">
        <f t="shared" ref="M60:Q60" si="4">SUM(M53:M59)</f>
        <v>0</v>
      </c>
      <c r="N60" s="46">
        <f t="shared" si="4"/>
        <v>0</v>
      </c>
      <c r="O60" s="46">
        <f t="shared" si="4"/>
        <v>0</v>
      </c>
      <c r="P60" s="46">
        <f t="shared" si="4"/>
        <v>0</v>
      </c>
      <c r="Q60" s="46">
        <f t="shared" si="4"/>
        <v>1561.59</v>
      </c>
      <c r="W60" s="46">
        <f>SUM(W53:W59)</f>
        <v>1225.5650000000001</v>
      </c>
      <c r="X60" s="46">
        <f>SUM(X53:X59)</f>
        <v>1621.633</v>
      </c>
    </row>
    <row r="61" spans="2:24" s="27" customFormat="1" x14ac:dyDescent="0.3"/>
    <row r="62" spans="2:24" s="27" customFormat="1" x14ac:dyDescent="0.3">
      <c r="B62" s="27" t="s">
        <v>102</v>
      </c>
      <c r="Q62" s="27">
        <v>50.174999999999997</v>
      </c>
      <c r="W62" s="27">
        <v>49.188000000000002</v>
      </c>
      <c r="X62" s="27">
        <v>80.563000000000002</v>
      </c>
    </row>
    <row r="63" spans="2:24" s="27" customFormat="1" x14ac:dyDescent="0.3">
      <c r="B63" s="27" t="s">
        <v>98</v>
      </c>
      <c r="Q63" s="27">
        <v>11.161</v>
      </c>
      <c r="W63" s="27">
        <v>5.1630000000000003</v>
      </c>
      <c r="X63" s="27">
        <v>9.6829999999999998</v>
      </c>
    </row>
    <row r="64" spans="2:24" s="27" customFormat="1" x14ac:dyDescent="0.3">
      <c r="B64" s="27" t="s">
        <v>103</v>
      </c>
      <c r="Q64" s="27">
        <v>37.549999999999997</v>
      </c>
      <c r="W64" s="27">
        <v>19.916</v>
      </c>
      <c r="X64" s="27">
        <v>38.024999999999999</v>
      </c>
    </row>
    <row r="65" spans="2:24" s="27" customFormat="1" x14ac:dyDescent="0.3">
      <c r="B65" s="27" t="s">
        <v>104</v>
      </c>
      <c r="Q65" s="27">
        <v>24.532</v>
      </c>
      <c r="W65" s="27">
        <v>1.131</v>
      </c>
      <c r="X65" s="27">
        <v>9.8510000000000009</v>
      </c>
    </row>
    <row r="66" spans="2:24" s="27" customFormat="1" x14ac:dyDescent="0.3">
      <c r="B66" s="27" t="s">
        <v>105</v>
      </c>
      <c r="Q66" s="27">
        <v>46.258000000000003</v>
      </c>
      <c r="W66" s="27">
        <v>36.914999999999999</v>
      </c>
      <c r="X66" s="27">
        <v>59.183</v>
      </c>
    </row>
    <row r="67" spans="2:24" s="27" customFormat="1" x14ac:dyDescent="0.3">
      <c r="B67" s="27" t="s">
        <v>106</v>
      </c>
      <c r="Q67" s="27">
        <v>1.0960000000000001</v>
      </c>
      <c r="W67" s="27">
        <v>0.93400000000000005</v>
      </c>
      <c r="X67" s="27">
        <v>0.92500000000000004</v>
      </c>
    </row>
    <row r="68" spans="2:24" s="27" customFormat="1" x14ac:dyDescent="0.3">
      <c r="B68" s="27" t="s">
        <v>107</v>
      </c>
      <c r="Q68" s="27">
        <v>76.013000000000005</v>
      </c>
      <c r="W68" s="27">
        <v>54.046999999999997</v>
      </c>
      <c r="X68" s="27">
        <v>62.72</v>
      </c>
    </row>
    <row r="69" spans="2:24" s="46" customFormat="1" x14ac:dyDescent="0.3">
      <c r="B69" s="46" t="s">
        <v>87</v>
      </c>
      <c r="M69" s="46">
        <f t="shared" ref="M69:Q69" si="5">SUM(M62:M68)</f>
        <v>0</v>
      </c>
      <c r="N69" s="46">
        <f t="shared" si="5"/>
        <v>0</v>
      </c>
      <c r="O69" s="46">
        <f t="shared" si="5"/>
        <v>0</v>
      </c>
      <c r="P69" s="46">
        <f t="shared" si="5"/>
        <v>0</v>
      </c>
      <c r="Q69" s="46">
        <f t="shared" si="5"/>
        <v>246.785</v>
      </c>
      <c r="W69" s="46">
        <f>SUM(W62:W68)</f>
        <v>167.29399999999998</v>
      </c>
      <c r="X69" s="46">
        <f>SUM(X62:X68)</f>
        <v>260.95000000000005</v>
      </c>
    </row>
    <row r="70" spans="2:24" s="46" customFormat="1" x14ac:dyDescent="0.3">
      <c r="B70" s="46" t="s">
        <v>108</v>
      </c>
      <c r="M70" s="46">
        <f t="shared" ref="M70:Q70" si="6">M69+M60</f>
        <v>0</v>
      </c>
      <c r="N70" s="46">
        <f t="shared" si="6"/>
        <v>0</v>
      </c>
      <c r="O70" s="46">
        <f t="shared" si="6"/>
        <v>0</v>
      </c>
      <c r="P70" s="46">
        <f t="shared" si="6"/>
        <v>0</v>
      </c>
      <c r="Q70" s="46">
        <f t="shared" si="6"/>
        <v>1808.375</v>
      </c>
      <c r="W70" s="46">
        <f>W69+W60</f>
        <v>1392.8589999999999</v>
      </c>
      <c r="X70" s="46">
        <f>X69+X60</f>
        <v>1882.5830000000001</v>
      </c>
    </row>
    <row r="71" spans="2:24" s="46" customFormat="1" x14ac:dyDescent="0.3">
      <c r="B71" s="46" t="s">
        <v>109</v>
      </c>
      <c r="M71" s="46">
        <f t="shared" ref="M71:Q71" si="7">M70+M51</f>
        <v>0</v>
      </c>
      <c r="N71" s="46">
        <f t="shared" si="7"/>
        <v>0</v>
      </c>
      <c r="O71" s="46">
        <f t="shared" si="7"/>
        <v>0</v>
      </c>
      <c r="P71" s="46">
        <f t="shared" si="7"/>
        <v>0</v>
      </c>
      <c r="Q71" s="46">
        <f t="shared" si="7"/>
        <v>1149.55</v>
      </c>
      <c r="W71" s="46">
        <f>W70+W51</f>
        <v>828.44299999999998</v>
      </c>
      <c r="X71" s="46">
        <f>X70+X51</f>
        <v>950.09000000000037</v>
      </c>
    </row>
    <row r="73" spans="2:24" x14ac:dyDescent="0.3">
      <c r="B73" s="27" t="s">
        <v>110</v>
      </c>
      <c r="M73" s="27">
        <f t="shared" ref="M73:P73" si="8">M20</f>
        <v>0</v>
      </c>
      <c r="N73" s="27">
        <f t="shared" si="8"/>
        <v>0</v>
      </c>
      <c r="O73" s="27">
        <f t="shared" si="8"/>
        <v>0</v>
      </c>
      <c r="P73" s="27">
        <f t="shared" si="8"/>
        <v>0</v>
      </c>
      <c r="Q73" s="27">
        <f>Q20</f>
        <v>-218.72899999999998</v>
      </c>
      <c r="V73" s="27">
        <f>V20</f>
        <v>-101.50400000000003</v>
      </c>
      <c r="W73" s="27">
        <f>W20</f>
        <v>-513.58000000000004</v>
      </c>
      <c r="X73" s="27">
        <f>X20</f>
        <v>-551.73099999999999</v>
      </c>
    </row>
    <row r="74" spans="2:24" x14ac:dyDescent="0.3">
      <c r="B74" s="27" t="s">
        <v>263</v>
      </c>
      <c r="Q74" s="27">
        <f>Q73+7.19-5.379-0.783+184.063+2.828-6.532-6.438</f>
        <v>-43.77999999999998</v>
      </c>
    </row>
    <row r="75" spans="2:24" x14ac:dyDescent="0.3">
      <c r="B75" s="27" t="s">
        <v>111</v>
      </c>
      <c r="Q75" s="27">
        <f>-43.78-12.424+0.04+14.539+5.634-2.959-28.927+4.176-7.139</f>
        <v>-70.84</v>
      </c>
    </row>
    <row r="76" spans="2:24" s="27" customFormat="1" x14ac:dyDescent="0.3">
      <c r="B76" s="27" t="s">
        <v>112</v>
      </c>
      <c r="Q76" s="27">
        <v>-75.403000000000006</v>
      </c>
      <c r="V76" s="27">
        <v>-228.17</v>
      </c>
      <c r="W76" s="27">
        <v>-312.38900000000001</v>
      </c>
      <c r="X76" s="27">
        <v>-312.185</v>
      </c>
    </row>
    <row r="77" spans="2:24" s="27" customFormat="1" x14ac:dyDescent="0.3">
      <c r="B77" s="27" t="s">
        <v>113</v>
      </c>
      <c r="Q77" s="27">
        <v>-3.48</v>
      </c>
      <c r="V77" s="27">
        <v>-40.633000000000003</v>
      </c>
      <c r="W77" s="27">
        <v>-63.536999999999999</v>
      </c>
      <c r="X77" s="27">
        <v>-46.34</v>
      </c>
    </row>
    <row r="78" spans="2:24" s="27" customFormat="1" x14ac:dyDescent="0.3">
      <c r="B78" s="27" t="s">
        <v>114</v>
      </c>
      <c r="Q78" s="27">
        <v>133.18</v>
      </c>
      <c r="V78" s="27">
        <v>254.83099999999999</v>
      </c>
      <c r="W78" s="27">
        <v>424.91</v>
      </c>
      <c r="X78" s="27">
        <v>301.31900000000002</v>
      </c>
    </row>
    <row r="79" spans="2:24" x14ac:dyDescent="0.3">
      <c r="B79" s="27" t="s">
        <v>258</v>
      </c>
      <c r="Q79" s="27">
        <v>-4.069</v>
      </c>
    </row>
    <row r="81" spans="2:17" x14ac:dyDescent="0.3">
      <c r="B81" s="27" t="s">
        <v>259</v>
      </c>
      <c r="Q81" s="27">
        <v>54.296999999999997</v>
      </c>
    </row>
    <row r="82" spans="2:17" x14ac:dyDescent="0.3">
      <c r="B82" s="27" t="s">
        <v>260</v>
      </c>
      <c r="Q82" s="27">
        <v>11.157</v>
      </c>
    </row>
    <row r="83" spans="2:17" x14ac:dyDescent="0.3">
      <c r="B83" s="27" t="s">
        <v>262</v>
      </c>
      <c r="Q83" s="27">
        <v>-0.64300000000000002</v>
      </c>
    </row>
    <row r="84" spans="2:17" s="11" customFormat="1" x14ac:dyDescent="0.3">
      <c r="B84" s="46" t="s">
        <v>261</v>
      </c>
      <c r="Q84" s="46">
        <f>SUM(Q81:Q83)</f>
        <v>64.810999999999993</v>
      </c>
    </row>
  </sheetData>
  <phoneticPr fontId="6" type="noConversion"/>
  <hyperlinks>
    <hyperlink ref="A1" location="ALVO!A1" display="Main" xr:uid="{991A86EB-DE28-4A01-BD87-BAE672E666F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D89F-26C4-4164-B3D5-7B4F97BA710E}">
  <dimension ref="A1:I13"/>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defaultRowHeight="14.4" x14ac:dyDescent="0.3"/>
  <cols>
    <col min="1" max="1" width="6.6640625" customWidth="1"/>
    <col min="2" max="2" width="7.88671875" customWidth="1"/>
    <col min="3" max="3" width="11.88671875" customWidth="1"/>
    <col min="4" max="4" width="21.5546875" bestFit="1" customWidth="1"/>
    <col min="5" max="5" width="14.5546875" customWidth="1"/>
    <col min="6" max="6" width="30.6640625" customWidth="1"/>
    <col min="7" max="7" width="20.6640625" customWidth="1"/>
    <col min="8" max="8" width="23.33203125" customWidth="1"/>
    <col min="9" max="9" width="30.5546875" customWidth="1"/>
  </cols>
  <sheetData>
    <row r="1" spans="1:9" x14ac:dyDescent="0.3">
      <c r="A1" s="13" t="s">
        <v>43</v>
      </c>
    </row>
    <row r="2" spans="1:9" s="79" customFormat="1" ht="15" thickBot="1" x14ac:dyDescent="0.35">
      <c r="B2" s="79" t="s">
        <v>115</v>
      </c>
      <c r="C2" s="79" t="s">
        <v>116</v>
      </c>
      <c r="D2" s="79" t="s">
        <v>117</v>
      </c>
      <c r="E2" s="79" t="s">
        <v>242</v>
      </c>
      <c r="F2" s="79" t="s">
        <v>118</v>
      </c>
      <c r="G2" s="79" t="s">
        <v>119</v>
      </c>
      <c r="H2" s="79" t="s">
        <v>120</v>
      </c>
      <c r="I2" s="79" t="s">
        <v>121</v>
      </c>
    </row>
    <row r="3" spans="1:9" s="76" customFormat="1" x14ac:dyDescent="0.3">
      <c r="B3" s="78" t="s">
        <v>122</v>
      </c>
      <c r="C3" s="76" t="s">
        <v>123</v>
      </c>
      <c r="D3" s="76" t="s">
        <v>124</v>
      </c>
      <c r="E3" s="76" t="s">
        <v>125</v>
      </c>
      <c r="F3" s="76" t="s">
        <v>126</v>
      </c>
      <c r="G3" s="76" t="s">
        <v>127</v>
      </c>
      <c r="H3" s="76" t="s">
        <v>128</v>
      </c>
    </row>
    <row r="4" spans="1:9" s="76" customFormat="1" x14ac:dyDescent="0.3">
      <c r="B4" s="78" t="s">
        <v>129</v>
      </c>
      <c r="C4" s="76" t="s">
        <v>123</v>
      </c>
      <c r="D4" s="76" t="s">
        <v>130</v>
      </c>
      <c r="E4" s="76" t="s">
        <v>131</v>
      </c>
      <c r="F4" s="76" t="s">
        <v>132</v>
      </c>
      <c r="G4" s="76" t="s">
        <v>133</v>
      </c>
      <c r="H4" s="76" t="s">
        <v>134</v>
      </c>
      <c r="I4" s="76" t="s">
        <v>135</v>
      </c>
    </row>
    <row r="5" spans="1:9" s="76" customFormat="1" x14ac:dyDescent="0.3">
      <c r="B5" s="76" t="s">
        <v>136</v>
      </c>
      <c r="C5" s="76" t="s">
        <v>123</v>
      </c>
      <c r="D5" s="76" t="s">
        <v>137</v>
      </c>
      <c r="E5" s="76" t="s">
        <v>138</v>
      </c>
      <c r="F5" s="76" t="s">
        <v>139</v>
      </c>
    </row>
    <row r="6" spans="1:9" s="76" customFormat="1" x14ac:dyDescent="0.3">
      <c r="B6" s="76" t="s">
        <v>140</v>
      </c>
      <c r="C6" s="76" t="s">
        <v>123</v>
      </c>
      <c r="D6" s="76" t="s">
        <v>141</v>
      </c>
      <c r="E6" s="76" t="s">
        <v>142</v>
      </c>
      <c r="F6" s="76" t="s">
        <v>139</v>
      </c>
    </row>
    <row r="7" spans="1:9" s="76" customFormat="1" x14ac:dyDescent="0.3">
      <c r="B7" s="76" t="s">
        <v>143</v>
      </c>
      <c r="C7" s="76" t="s">
        <v>123</v>
      </c>
      <c r="D7" s="76" t="s">
        <v>144</v>
      </c>
      <c r="E7" s="76" t="s">
        <v>145</v>
      </c>
      <c r="F7" s="76" t="s">
        <v>139</v>
      </c>
    </row>
    <row r="8" spans="1:9" s="76" customFormat="1" x14ac:dyDescent="0.3">
      <c r="B8" s="76" t="s">
        <v>146</v>
      </c>
      <c r="C8" s="76" t="s">
        <v>123</v>
      </c>
      <c r="D8" s="76" t="s">
        <v>147</v>
      </c>
      <c r="E8" s="76" t="s">
        <v>148</v>
      </c>
      <c r="F8" s="76" t="s">
        <v>149</v>
      </c>
    </row>
    <row r="9" spans="1:9" s="76" customFormat="1" x14ac:dyDescent="0.3">
      <c r="B9" s="76" t="s">
        <v>150</v>
      </c>
      <c r="C9" s="76" t="s">
        <v>123</v>
      </c>
      <c r="D9" s="76" t="s">
        <v>151</v>
      </c>
      <c r="E9" s="76" t="s">
        <v>152</v>
      </c>
      <c r="F9" s="76" t="s">
        <v>153</v>
      </c>
    </row>
    <row r="10" spans="1:9" s="76" customFormat="1" x14ac:dyDescent="0.3">
      <c r="B10" s="76" t="s">
        <v>154</v>
      </c>
      <c r="C10" s="76" t="s">
        <v>123</v>
      </c>
      <c r="D10" s="76" t="s">
        <v>152</v>
      </c>
      <c r="E10" s="76" t="s">
        <v>155</v>
      </c>
      <c r="F10" s="76" t="s">
        <v>153</v>
      </c>
    </row>
    <row r="11" spans="1:9" s="76" customFormat="1" x14ac:dyDescent="0.3">
      <c r="B11" s="77" t="s">
        <v>156</v>
      </c>
      <c r="F11" s="76" t="s">
        <v>157</v>
      </c>
    </row>
    <row r="12" spans="1:9" s="76" customFormat="1" x14ac:dyDescent="0.3">
      <c r="B12" s="77" t="s">
        <v>156</v>
      </c>
      <c r="F12" s="76" t="s">
        <v>157</v>
      </c>
    </row>
    <row r="13" spans="1:9" s="76" customFormat="1" x14ac:dyDescent="0.3">
      <c r="B13" s="77" t="s">
        <v>156</v>
      </c>
      <c r="F13" s="76" t="s">
        <v>157</v>
      </c>
    </row>
  </sheetData>
  <hyperlinks>
    <hyperlink ref="A1" location="Sheet1!A1" display="Main" xr:uid="{0DBD5417-47D4-4829-B46F-2170EB6CBEBB}"/>
    <hyperlink ref="B3" location="'AVT02 (Humira)'!A1" display="AVT02" xr:uid="{D2A96788-46FA-4EF8-B20A-F96B0F816B59}"/>
    <hyperlink ref="B4" location="'AVT04 (Stelara)'!A1" display="AVT04" xr:uid="{4229F912-4976-42FE-9298-C3BF6F3E4B9E}"/>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89F5-23FA-43C2-813D-3A051280D7FA}">
  <dimension ref="A1:C12"/>
  <sheetViews>
    <sheetView zoomScale="130" zoomScaleNormal="130" workbookViewId="0">
      <selection activeCell="C16" sqref="C16"/>
    </sheetView>
  </sheetViews>
  <sheetFormatPr defaultRowHeight="14.4" x14ac:dyDescent="0.3"/>
  <cols>
    <col min="2" max="2" width="19.44140625" customWidth="1"/>
    <col min="3" max="3" width="48" customWidth="1"/>
    <col min="4" max="4" width="9.109375" customWidth="1"/>
  </cols>
  <sheetData>
    <row r="1" spans="1:3" ht="18.600000000000001" thickBot="1" x14ac:dyDescent="0.4">
      <c r="A1" s="13" t="s">
        <v>43</v>
      </c>
      <c r="B1" s="96" t="s">
        <v>124</v>
      </c>
      <c r="C1" s="98"/>
    </row>
    <row r="2" spans="1:3" ht="28.8" x14ac:dyDescent="0.3">
      <c r="B2" s="20" t="s">
        <v>158</v>
      </c>
      <c r="C2" s="21" t="s">
        <v>159</v>
      </c>
    </row>
    <row r="3" spans="1:3" ht="43.2" x14ac:dyDescent="0.3">
      <c r="B3" s="18" t="s">
        <v>160</v>
      </c>
      <c r="C3" s="19" t="s">
        <v>161</v>
      </c>
    </row>
    <row r="4" spans="1:3" ht="43.2" x14ac:dyDescent="0.3">
      <c r="B4" s="18" t="s">
        <v>162</v>
      </c>
      <c r="C4" s="19" t="s">
        <v>163</v>
      </c>
    </row>
    <row r="5" spans="1:3" ht="31.5" customHeight="1" x14ac:dyDescent="0.3">
      <c r="B5" s="18" t="s">
        <v>164</v>
      </c>
      <c r="C5" s="19" t="s">
        <v>165</v>
      </c>
    </row>
    <row r="6" spans="1:3" ht="46.5" customHeight="1" thickBot="1" x14ac:dyDescent="0.35"/>
    <row r="7" spans="1:3" ht="18.600000000000001" thickBot="1" x14ac:dyDescent="0.4">
      <c r="B7" s="96" t="s">
        <v>166</v>
      </c>
      <c r="C7" s="98"/>
    </row>
    <row r="8" spans="1:3" ht="15.6" x14ac:dyDescent="0.3">
      <c r="B8" s="24" t="s">
        <v>167</v>
      </c>
      <c r="C8" s="2" t="s">
        <v>168</v>
      </c>
    </row>
    <row r="9" spans="1:3" ht="43.2" x14ac:dyDescent="0.3">
      <c r="B9" s="23" t="s">
        <v>169</v>
      </c>
      <c r="C9" s="19" t="s">
        <v>170</v>
      </c>
    </row>
    <row r="10" spans="1:3" ht="15.6" x14ac:dyDescent="0.3">
      <c r="B10" s="22" t="s">
        <v>171</v>
      </c>
      <c r="C10" s="1" t="s">
        <v>172</v>
      </c>
    </row>
    <row r="11" spans="1:3" ht="45" customHeight="1" x14ac:dyDescent="0.3">
      <c r="B11" s="18" t="s">
        <v>173</v>
      </c>
      <c r="C11" s="19" t="s">
        <v>174</v>
      </c>
    </row>
    <row r="12" spans="1:3" ht="43.2" x14ac:dyDescent="0.3">
      <c r="B12" s="18" t="s">
        <v>175</v>
      </c>
      <c r="C12" s="19" t="s">
        <v>176</v>
      </c>
    </row>
  </sheetData>
  <mergeCells count="2">
    <mergeCell ref="B7:C7"/>
    <mergeCell ref="B1:C1"/>
  </mergeCells>
  <hyperlinks>
    <hyperlink ref="A1" location="ALVO!A1" display="Main" xr:uid="{77389B84-2893-4DC6-89A5-A90CA6055CC1}"/>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04C5-E618-44BF-A45B-D434C5A19510}">
  <dimension ref="A1:C11"/>
  <sheetViews>
    <sheetView zoomScale="130" zoomScaleNormal="130" workbookViewId="0">
      <selection activeCell="B2" sqref="B2"/>
    </sheetView>
  </sheetViews>
  <sheetFormatPr defaultRowHeight="14.4" x14ac:dyDescent="0.3"/>
  <cols>
    <col min="1" max="1" width="7.44140625" customWidth="1"/>
    <col min="2" max="2" width="19.44140625" customWidth="1"/>
    <col min="3" max="3" width="48" customWidth="1"/>
    <col min="4" max="4" width="9.109375" customWidth="1"/>
  </cols>
  <sheetData>
    <row r="1" spans="1:3" ht="18.600000000000001" thickBot="1" x14ac:dyDescent="0.4">
      <c r="A1" s="13" t="s">
        <v>43</v>
      </c>
      <c r="B1" s="96" t="s">
        <v>243</v>
      </c>
      <c r="C1" s="98"/>
    </row>
    <row r="2" spans="1:3" ht="28.8" x14ac:dyDescent="0.3">
      <c r="B2" s="16" t="s">
        <v>158</v>
      </c>
      <c r="C2" s="14" t="s">
        <v>177</v>
      </c>
    </row>
    <row r="3" spans="1:3" ht="43.2" x14ac:dyDescent="0.3">
      <c r="B3" s="16" t="s">
        <v>160</v>
      </c>
      <c r="C3" s="14" t="s">
        <v>178</v>
      </c>
    </row>
    <row r="4" spans="1:3" ht="15.6" x14ac:dyDescent="0.3">
      <c r="B4" s="16"/>
      <c r="C4" s="14"/>
    </row>
    <row r="5" spans="1:3" ht="28.8" x14ac:dyDescent="0.3">
      <c r="B5" s="16" t="s">
        <v>179</v>
      </c>
      <c r="C5" s="14" t="s">
        <v>180</v>
      </c>
    </row>
    <row r="6" spans="1:3" ht="46.5" customHeight="1" thickBot="1" x14ac:dyDescent="0.35"/>
    <row r="7" spans="1:3" ht="18.600000000000001" thickBot="1" x14ac:dyDescent="0.4">
      <c r="B7" s="96" t="s">
        <v>166</v>
      </c>
      <c r="C7" s="98"/>
    </row>
    <row r="8" spans="1:3" ht="61.5" customHeight="1" x14ac:dyDescent="0.3">
      <c r="B8" s="16" t="s">
        <v>181</v>
      </c>
      <c r="C8" s="14" t="s">
        <v>182</v>
      </c>
    </row>
    <row r="9" spans="1:3" ht="57.6" x14ac:dyDescent="0.3">
      <c r="B9" s="15" t="s">
        <v>169</v>
      </c>
      <c r="C9" s="14" t="s">
        <v>183</v>
      </c>
    </row>
    <row r="10" spans="1:3" ht="57.6" x14ac:dyDescent="0.3">
      <c r="B10" s="16" t="s">
        <v>184</v>
      </c>
      <c r="C10" s="14" t="s">
        <v>241</v>
      </c>
    </row>
    <row r="11" spans="1:3" ht="45" customHeight="1" x14ac:dyDescent="0.3">
      <c r="B11" s="16" t="s">
        <v>185</v>
      </c>
      <c r="C11" s="14" t="s">
        <v>186</v>
      </c>
    </row>
  </sheetData>
  <mergeCells count="2">
    <mergeCell ref="B7:C7"/>
    <mergeCell ref="B1:C1"/>
  </mergeCells>
  <hyperlinks>
    <hyperlink ref="A1" location="ALVO!A1" display="Main" xr:uid="{B1473FA0-C70D-4606-8589-90F7598DF3A9}"/>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D5DE-C22A-493F-BAD3-8DFF4987FA04}">
  <dimension ref="A1:L46"/>
  <sheetViews>
    <sheetView zoomScaleNormal="100" workbookViewId="0">
      <pane xSplit="2" ySplit="2" topLeftCell="C16" activePane="bottomRight" state="frozen"/>
      <selection pane="topRight" activeCell="C1" sqref="C1"/>
      <selection pane="bottomLeft" activeCell="A3" sqref="A3"/>
      <selection pane="bottomRight" activeCell="F36" sqref="F36"/>
    </sheetView>
  </sheetViews>
  <sheetFormatPr defaultRowHeight="14.4" x14ac:dyDescent="0.3"/>
  <cols>
    <col min="2" max="2" width="33.44140625" customWidth="1"/>
    <col min="3" max="3" width="16.109375" customWidth="1"/>
    <col min="4" max="4" width="16.44140625" customWidth="1"/>
    <col min="5" max="5" width="11.6640625" customWidth="1"/>
    <col min="6" max="6" width="7.6640625" customWidth="1"/>
    <col min="7" max="7" width="9.33203125" customWidth="1"/>
    <col min="8" max="8" width="9.6640625" customWidth="1"/>
    <col min="9" max="9" width="10.5546875" bestFit="1" customWidth="1"/>
    <col min="10" max="10" width="9" customWidth="1"/>
    <col min="11" max="11" width="23.33203125" customWidth="1"/>
    <col min="12" max="12" width="50.109375" customWidth="1"/>
  </cols>
  <sheetData>
    <row r="1" spans="1:12" x14ac:dyDescent="0.3">
      <c r="A1" s="13" t="s">
        <v>43</v>
      </c>
    </row>
    <row r="2" spans="1:12" x14ac:dyDescent="0.3">
      <c r="B2" s="12" t="s">
        <v>187</v>
      </c>
      <c r="C2" t="s">
        <v>116</v>
      </c>
      <c r="D2" t="s">
        <v>188</v>
      </c>
      <c r="E2" t="s">
        <v>188</v>
      </c>
      <c r="F2" t="s">
        <v>189</v>
      </c>
      <c r="G2" t="s">
        <v>190</v>
      </c>
      <c r="H2" t="s">
        <v>191</v>
      </c>
      <c r="I2" t="s">
        <v>192</v>
      </c>
      <c r="J2" t="s">
        <v>4</v>
      </c>
    </row>
    <row r="3" spans="1:12" x14ac:dyDescent="0.3">
      <c r="B3" s="25" t="s">
        <v>193</v>
      </c>
      <c r="C3" t="s">
        <v>194</v>
      </c>
    </row>
    <row r="4" spans="1:12" x14ac:dyDescent="0.3">
      <c r="B4" t="s">
        <v>195</v>
      </c>
      <c r="C4" t="s">
        <v>196</v>
      </c>
      <c r="F4">
        <v>101.3</v>
      </c>
      <c r="G4" t="s">
        <v>197</v>
      </c>
      <c r="J4">
        <v>1522103</v>
      </c>
    </row>
    <row r="5" spans="1:12" x14ac:dyDescent="0.3">
      <c r="B5" t="s">
        <v>195</v>
      </c>
      <c r="C5" t="s">
        <v>196</v>
      </c>
      <c r="F5">
        <v>73.7</v>
      </c>
      <c r="G5" t="s">
        <v>197</v>
      </c>
      <c r="J5">
        <v>1137248</v>
      </c>
    </row>
    <row r="6" spans="1:12" x14ac:dyDescent="0.3">
      <c r="B6" t="s">
        <v>195</v>
      </c>
      <c r="C6" s="11" t="s">
        <v>196</v>
      </c>
      <c r="F6">
        <v>166.8</v>
      </c>
      <c r="G6" t="s">
        <v>197</v>
      </c>
      <c r="J6">
        <v>2306555</v>
      </c>
    </row>
    <row r="7" spans="1:12" x14ac:dyDescent="0.3">
      <c r="B7" t="s">
        <v>198</v>
      </c>
      <c r="C7" s="11" t="s">
        <v>199</v>
      </c>
      <c r="F7">
        <v>100.7</v>
      </c>
      <c r="G7" t="s">
        <v>197</v>
      </c>
      <c r="H7">
        <v>4.8</v>
      </c>
      <c r="J7">
        <v>455687</v>
      </c>
      <c r="K7" t="s">
        <v>200</v>
      </c>
    </row>
    <row r="8" spans="1:12" x14ac:dyDescent="0.3">
      <c r="B8" t="s">
        <v>201</v>
      </c>
      <c r="C8" s="11" t="s">
        <v>199</v>
      </c>
      <c r="F8">
        <v>363.1</v>
      </c>
      <c r="G8" t="s">
        <v>197</v>
      </c>
      <c r="H8">
        <v>31</v>
      </c>
    </row>
    <row r="9" spans="1:12" x14ac:dyDescent="0.3">
      <c r="B9" t="s">
        <v>202</v>
      </c>
      <c r="C9" s="11" t="s">
        <v>203</v>
      </c>
      <c r="F9">
        <v>525.70000000000005</v>
      </c>
      <c r="H9" s="26">
        <v>0.12</v>
      </c>
      <c r="I9" t="s">
        <v>204</v>
      </c>
    </row>
    <row r="10" spans="1:12" x14ac:dyDescent="0.3">
      <c r="B10" t="s">
        <v>205</v>
      </c>
      <c r="C10" s="11" t="s">
        <v>199</v>
      </c>
      <c r="E10" t="s">
        <v>206</v>
      </c>
      <c r="F10">
        <v>59.1</v>
      </c>
      <c r="G10" t="s">
        <v>207</v>
      </c>
      <c r="H10" s="26">
        <v>0.15</v>
      </c>
      <c r="I10" t="s">
        <v>204</v>
      </c>
    </row>
    <row r="11" spans="1:12" x14ac:dyDescent="0.3">
      <c r="B11" t="s">
        <v>205</v>
      </c>
      <c r="C11" s="11" t="s">
        <v>199</v>
      </c>
      <c r="E11" t="s">
        <v>208</v>
      </c>
      <c r="F11">
        <v>0.6</v>
      </c>
      <c r="G11" t="s">
        <v>197</v>
      </c>
      <c r="H11" s="41">
        <v>0.125</v>
      </c>
      <c r="I11" t="s">
        <v>204</v>
      </c>
      <c r="K11" t="s">
        <v>209</v>
      </c>
    </row>
    <row r="12" spans="1:12" x14ac:dyDescent="0.3">
      <c r="B12" t="s">
        <v>210</v>
      </c>
      <c r="C12" s="11" t="s">
        <v>199</v>
      </c>
      <c r="E12" t="s">
        <v>208</v>
      </c>
      <c r="F12">
        <v>10</v>
      </c>
      <c r="G12" t="s">
        <v>197</v>
      </c>
      <c r="K12" t="s">
        <v>211</v>
      </c>
    </row>
    <row r="13" spans="1:12" x14ac:dyDescent="0.3">
      <c r="B13" t="s">
        <v>212</v>
      </c>
      <c r="C13" s="11" t="s">
        <v>199</v>
      </c>
      <c r="E13" t="s">
        <v>208</v>
      </c>
      <c r="F13">
        <v>40</v>
      </c>
      <c r="G13" t="s">
        <v>197</v>
      </c>
      <c r="K13" t="s">
        <v>213</v>
      </c>
    </row>
    <row r="14" spans="1:12" x14ac:dyDescent="0.3">
      <c r="B14" t="s">
        <v>214</v>
      </c>
      <c r="C14" s="11" t="s">
        <v>199</v>
      </c>
      <c r="D14" t="s">
        <v>215</v>
      </c>
      <c r="E14" t="s">
        <v>208</v>
      </c>
      <c r="F14">
        <v>100</v>
      </c>
      <c r="G14" t="s">
        <v>197</v>
      </c>
      <c r="K14" t="s">
        <v>216</v>
      </c>
    </row>
    <row r="15" spans="1:12" x14ac:dyDescent="0.3">
      <c r="B15" t="s">
        <v>217</v>
      </c>
      <c r="C15" s="11" t="s">
        <v>218</v>
      </c>
    </row>
    <row r="16" spans="1:12" ht="57.6" x14ac:dyDescent="0.3">
      <c r="B16" t="s">
        <v>202</v>
      </c>
      <c r="C16" s="11" t="s">
        <v>199</v>
      </c>
      <c r="D16" t="s">
        <v>215</v>
      </c>
      <c r="F16">
        <v>80</v>
      </c>
      <c r="G16" t="s">
        <v>197</v>
      </c>
      <c r="H16" s="41">
        <v>0.125</v>
      </c>
      <c r="I16" t="s">
        <v>204</v>
      </c>
      <c r="K16" t="s">
        <v>219</v>
      </c>
      <c r="L16" s="14" t="s">
        <v>220</v>
      </c>
    </row>
    <row r="17" spans="2:11" ht="20.25" customHeight="1" x14ac:dyDescent="0.3"/>
    <row r="18" spans="2:11" x14ac:dyDescent="0.3">
      <c r="B18" t="s">
        <v>221</v>
      </c>
      <c r="C18" s="11" t="s">
        <v>222</v>
      </c>
      <c r="D18" t="s">
        <v>223</v>
      </c>
      <c r="F18">
        <v>15</v>
      </c>
      <c r="G18" t="s">
        <v>197</v>
      </c>
    </row>
    <row r="19" spans="2:11" x14ac:dyDescent="0.3">
      <c r="B19" t="s">
        <v>221</v>
      </c>
      <c r="C19" s="11" t="s">
        <v>222</v>
      </c>
      <c r="D19" t="s">
        <v>223</v>
      </c>
      <c r="F19">
        <v>10</v>
      </c>
      <c r="G19" t="s">
        <v>197</v>
      </c>
    </row>
    <row r="20" spans="2:11" x14ac:dyDescent="0.3">
      <c r="B20" t="s">
        <v>221</v>
      </c>
      <c r="C20" s="11" t="s">
        <v>222</v>
      </c>
      <c r="D20" t="s">
        <v>223</v>
      </c>
      <c r="F20">
        <v>10</v>
      </c>
      <c r="G20" t="s">
        <v>197</v>
      </c>
    </row>
    <row r="21" spans="2:11" x14ac:dyDescent="0.3">
      <c r="B21" t="s">
        <v>221</v>
      </c>
      <c r="C21" s="11" t="s">
        <v>222</v>
      </c>
      <c r="D21" t="s">
        <v>223</v>
      </c>
      <c r="F21">
        <v>25</v>
      </c>
      <c r="G21" t="s">
        <v>197</v>
      </c>
    </row>
    <row r="22" spans="2:11" x14ac:dyDescent="0.3">
      <c r="B22" t="s">
        <v>221</v>
      </c>
      <c r="C22" s="11" t="s">
        <v>222</v>
      </c>
      <c r="D22" t="s">
        <v>223</v>
      </c>
      <c r="F22">
        <v>15</v>
      </c>
      <c r="G22" t="s">
        <v>197</v>
      </c>
    </row>
    <row r="23" spans="2:11" x14ac:dyDescent="0.3">
      <c r="B23" t="s">
        <v>221</v>
      </c>
      <c r="C23" s="11" t="s">
        <v>222</v>
      </c>
      <c r="D23" t="s">
        <v>223</v>
      </c>
      <c r="F23">
        <v>10</v>
      </c>
      <c r="G23" t="s">
        <v>197</v>
      </c>
    </row>
    <row r="24" spans="2:11" x14ac:dyDescent="0.3">
      <c r="B24" t="s">
        <v>221</v>
      </c>
      <c r="C24" s="11" t="s">
        <v>222</v>
      </c>
      <c r="D24" t="s">
        <v>223</v>
      </c>
      <c r="F24">
        <v>25</v>
      </c>
      <c r="G24" t="s">
        <v>197</v>
      </c>
    </row>
    <row r="25" spans="2:11" x14ac:dyDescent="0.3">
      <c r="B25" t="s">
        <v>221</v>
      </c>
      <c r="C25" s="11" t="s">
        <v>222</v>
      </c>
      <c r="D25" t="s">
        <v>223</v>
      </c>
      <c r="F25">
        <v>25</v>
      </c>
      <c r="G25" t="s">
        <v>197</v>
      </c>
    </row>
    <row r="26" spans="2:11" x14ac:dyDescent="0.3">
      <c r="B26" t="s">
        <v>221</v>
      </c>
      <c r="C26" s="11" t="s">
        <v>222</v>
      </c>
      <c r="D26" t="s">
        <v>223</v>
      </c>
      <c r="F26">
        <v>40</v>
      </c>
      <c r="G26" t="s">
        <v>197</v>
      </c>
      <c r="H26" s="26">
        <v>0.1</v>
      </c>
      <c r="J26">
        <v>2500000</v>
      </c>
      <c r="K26" t="s">
        <v>224</v>
      </c>
    </row>
    <row r="27" spans="2:11" x14ac:dyDescent="0.3">
      <c r="B27" t="s">
        <v>221</v>
      </c>
      <c r="C27" s="11" t="s">
        <v>222</v>
      </c>
      <c r="D27" t="s">
        <v>223</v>
      </c>
      <c r="F27">
        <v>20</v>
      </c>
      <c r="G27" t="s">
        <v>197</v>
      </c>
      <c r="H27" s="26">
        <v>0.1</v>
      </c>
    </row>
    <row r="28" spans="2:11" x14ac:dyDescent="0.3">
      <c r="C28" s="11"/>
    </row>
    <row r="29" spans="2:11" x14ac:dyDescent="0.3">
      <c r="B29" t="s">
        <v>225</v>
      </c>
      <c r="C29" t="s">
        <v>226</v>
      </c>
      <c r="D29" t="s">
        <v>227</v>
      </c>
      <c r="F29">
        <v>8</v>
      </c>
    </row>
    <row r="30" spans="2:11" x14ac:dyDescent="0.3">
      <c r="B30" t="s">
        <v>225</v>
      </c>
      <c r="C30" t="s">
        <v>226</v>
      </c>
      <c r="D30" t="s">
        <v>227</v>
      </c>
      <c r="F30">
        <v>3.2</v>
      </c>
    </row>
    <row r="31" spans="2:11" x14ac:dyDescent="0.3">
      <c r="B31" t="s">
        <v>225</v>
      </c>
      <c r="C31" t="s">
        <v>226</v>
      </c>
      <c r="D31" t="s">
        <v>227</v>
      </c>
      <c r="F31">
        <v>1.8</v>
      </c>
    </row>
    <row r="32" spans="2:11" x14ac:dyDescent="0.3">
      <c r="B32" t="s">
        <v>228</v>
      </c>
      <c r="C32" t="s">
        <v>226</v>
      </c>
      <c r="D32" t="s">
        <v>227</v>
      </c>
      <c r="F32">
        <v>11.5</v>
      </c>
    </row>
    <row r="33" spans="2:6" x14ac:dyDescent="0.3">
      <c r="B33" t="s">
        <v>229</v>
      </c>
      <c r="C33" t="s">
        <v>226</v>
      </c>
      <c r="D33" t="s">
        <v>227</v>
      </c>
      <c r="F33">
        <v>25</v>
      </c>
    </row>
    <row r="34" spans="2:6" ht="15" thickBot="1" x14ac:dyDescent="0.35"/>
    <row r="35" spans="2:6" ht="15" thickBot="1" x14ac:dyDescent="0.35">
      <c r="B35" s="42" t="s">
        <v>95</v>
      </c>
      <c r="C35" s="43">
        <v>2023</v>
      </c>
      <c r="D35" s="17">
        <v>2022</v>
      </c>
    </row>
    <row r="36" spans="2:6" x14ac:dyDescent="0.3">
      <c r="B36" s="44" t="s">
        <v>230</v>
      </c>
      <c r="C36" s="45">
        <v>764570</v>
      </c>
      <c r="D36" s="45">
        <v>400911</v>
      </c>
    </row>
    <row r="37" spans="2:6" x14ac:dyDescent="0.3">
      <c r="B37" t="s">
        <v>231</v>
      </c>
      <c r="C37" s="27">
        <v>-6115</v>
      </c>
      <c r="D37" s="27">
        <v>-2889</v>
      </c>
    </row>
    <row r="38" spans="2:6" x14ac:dyDescent="0.3">
      <c r="B38" t="s">
        <v>232</v>
      </c>
      <c r="C38" s="27">
        <v>15770</v>
      </c>
      <c r="D38" s="27">
        <v>35065</v>
      </c>
    </row>
    <row r="39" spans="2:6" x14ac:dyDescent="0.3">
      <c r="B39" t="s">
        <v>233</v>
      </c>
      <c r="C39" s="27">
        <v>-50953</v>
      </c>
      <c r="D39" s="27">
        <v>-43241</v>
      </c>
    </row>
    <row r="40" spans="2:6" x14ac:dyDescent="0.3">
      <c r="B40" t="s">
        <v>234</v>
      </c>
      <c r="C40" s="27">
        <v>275311</v>
      </c>
      <c r="D40" s="27">
        <v>467196</v>
      </c>
    </row>
    <row r="41" spans="2:6" x14ac:dyDescent="0.3">
      <c r="B41" t="s">
        <v>235</v>
      </c>
      <c r="C41" s="27"/>
      <c r="D41" s="27">
        <v>-50000</v>
      </c>
    </row>
    <row r="42" spans="2:6" x14ac:dyDescent="0.3">
      <c r="B42" t="s">
        <v>236</v>
      </c>
      <c r="C42" s="27">
        <v>-99367</v>
      </c>
      <c r="D42" s="27">
        <v>-83951</v>
      </c>
    </row>
    <row r="43" spans="2:6" x14ac:dyDescent="0.3">
      <c r="B43" t="s">
        <v>237</v>
      </c>
      <c r="C43" s="27">
        <v>58212</v>
      </c>
      <c r="D43" s="27">
        <v>40424</v>
      </c>
    </row>
    <row r="44" spans="2:6" x14ac:dyDescent="0.3">
      <c r="B44" t="s">
        <v>238</v>
      </c>
      <c r="C44" s="27">
        <v>1657</v>
      </c>
      <c r="D44" s="27">
        <v>23</v>
      </c>
    </row>
    <row r="45" spans="2:6" x14ac:dyDescent="0.3">
      <c r="B45" t="s">
        <v>239</v>
      </c>
      <c r="C45" s="27">
        <v>1075</v>
      </c>
      <c r="D45" s="27">
        <v>1032</v>
      </c>
    </row>
    <row r="46" spans="2:6" x14ac:dyDescent="0.3">
      <c r="B46" s="44" t="s">
        <v>240</v>
      </c>
      <c r="C46" s="45">
        <f>SUM(C36:C45)</f>
        <v>960160</v>
      </c>
      <c r="D46" s="45">
        <f>SUM(D36:D45)</f>
        <v>764570</v>
      </c>
    </row>
  </sheetData>
  <hyperlinks>
    <hyperlink ref="A1" location="Sheet1!A1" display="Main" xr:uid="{86A28112-9108-4A8C-9E0A-A6B90B7A95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Vinnublöð</vt:lpstr>
      </vt:variant>
      <vt:variant>
        <vt:i4>6</vt:i4>
      </vt:variant>
    </vt:vector>
  </HeadingPairs>
  <TitlesOfParts>
    <vt:vector size="6" baseType="lpstr">
      <vt:lpstr>ALVO</vt:lpstr>
      <vt:lpstr>Model</vt:lpstr>
      <vt:lpstr>Pipeline</vt:lpstr>
      <vt:lpstr>AVT02 (Humira)</vt:lpstr>
      <vt:lpstr>AVT04 (Stelara)</vt:lpstr>
      <vt:lpstr>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Herbert Guðmundsson</dc:creator>
  <cp:keywords/>
  <dc:description/>
  <cp:lastModifiedBy>Kaupandi ehf</cp:lastModifiedBy>
  <cp:revision/>
  <cp:lastPrinted>2024-04-16T22:44:50Z</cp:lastPrinted>
  <dcterms:created xsi:type="dcterms:W3CDTF">2024-04-14T00:38:35Z</dcterms:created>
  <dcterms:modified xsi:type="dcterms:W3CDTF">2024-05-21T21:58:54Z</dcterms:modified>
  <cp:category/>
  <cp:contentStatus/>
</cp:coreProperties>
</file>