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2004" documentId="8_{9BA7BCDD-8B67-4440-811C-0CF200E32005}" xr6:coauthVersionLast="47" xr6:coauthVersionMax="47" xr10:uidLastSave="{B6B42AE5-2DA1-4879-8B70-13DBAF683D84}"/>
  <bookViews>
    <workbookView xWindow="-108" yWindow="-108" windowWidth="30936" windowHeight="17496" activeTab="1" xr2:uid="{F8A61084-7C4E-47AB-B257-554D66B4CF3F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2" i="1" l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I72" i="1"/>
  <c r="G72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P70" i="1"/>
  <c r="AO70" i="1"/>
  <c r="AO73" i="1" s="1"/>
  <c r="AN70" i="1"/>
  <c r="AM70" i="1"/>
  <c r="AL70" i="1"/>
  <c r="AK70" i="1"/>
  <c r="AJ70" i="1"/>
  <c r="AI70" i="1"/>
  <c r="AI73" i="1" s="1"/>
  <c r="AH70" i="1"/>
  <c r="AG70" i="1"/>
  <c r="AG73" i="1" s="1"/>
  <c r="AF70" i="1"/>
  <c r="AE70" i="1"/>
  <c r="AE73" i="1" s="1"/>
  <c r="AD70" i="1"/>
  <c r="AC70" i="1"/>
  <c r="AB70" i="1"/>
  <c r="AA70" i="1"/>
  <c r="AA73" i="1" s="1"/>
  <c r="Z70" i="1"/>
  <c r="Y70" i="1"/>
  <c r="Y73" i="1" s="1"/>
  <c r="X70" i="1"/>
  <c r="W70" i="1"/>
  <c r="W73" i="1" s="1"/>
  <c r="V70" i="1"/>
  <c r="U70" i="1"/>
  <c r="T70" i="1"/>
  <c r="S70" i="1"/>
  <c r="S73" i="1" s="1"/>
  <c r="R70" i="1"/>
  <c r="Q70" i="1"/>
  <c r="P70" i="1"/>
  <c r="O70" i="1"/>
  <c r="N70" i="1"/>
  <c r="M70" i="1"/>
  <c r="L70" i="1"/>
  <c r="K70" i="1"/>
  <c r="J70" i="1"/>
  <c r="I70" i="1"/>
  <c r="I73" i="1" s="1"/>
  <c r="H70" i="1"/>
  <c r="G70" i="1"/>
  <c r="G73" i="1" s="1"/>
  <c r="F70" i="1"/>
  <c r="E70" i="1"/>
  <c r="D70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I75" i="1"/>
  <c r="I77" i="1" s="1"/>
  <c r="H75" i="1"/>
  <c r="H77" i="1" s="1"/>
  <c r="C76" i="1"/>
  <c r="C71" i="1"/>
  <c r="C70" i="1"/>
  <c r="I43" i="1"/>
  <c r="I42" i="1"/>
  <c r="G42" i="1"/>
  <c r="AP58" i="1"/>
  <c r="AP43" i="1" s="1"/>
  <c r="AP45" i="1"/>
  <c r="AP42" i="1" s="1"/>
  <c r="AO12" i="1"/>
  <c r="AP12" i="1"/>
  <c r="AO10" i="1"/>
  <c r="AP10" i="1"/>
  <c r="AO8" i="1"/>
  <c r="AP8" i="1"/>
  <c r="AO6" i="1"/>
  <c r="AP6" i="1"/>
  <c r="AO4" i="1"/>
  <c r="AP4" i="1"/>
  <c r="AP17" i="1"/>
  <c r="BD28" i="1"/>
  <c r="BC28" i="1"/>
  <c r="BB28" i="1"/>
  <c r="BA28" i="1"/>
  <c r="AZ28" i="1"/>
  <c r="AY28" i="1"/>
  <c r="AX28" i="1"/>
  <c r="AW28" i="1"/>
  <c r="AV28" i="1"/>
  <c r="AV17" i="1"/>
  <c r="AZ17" i="1"/>
  <c r="BA17" i="1"/>
  <c r="AU17" i="1"/>
  <c r="AW17" i="1"/>
  <c r="AX17" i="1"/>
  <c r="AY17" i="1"/>
  <c r="BB17" i="1"/>
  <c r="BC17" i="1"/>
  <c r="BD17" i="1"/>
  <c r="AY20" i="1"/>
  <c r="AZ20" i="1"/>
  <c r="BA20" i="1"/>
  <c r="AV20" i="1"/>
  <c r="AU20" i="1"/>
  <c r="AW20" i="1"/>
  <c r="AX20" i="1"/>
  <c r="BB20" i="1"/>
  <c r="BC20" i="1"/>
  <c r="BD20" i="1"/>
  <c r="BC25" i="1"/>
  <c r="BE27" i="1"/>
  <c r="BF27" i="1" s="1"/>
  <c r="AQ22" i="1"/>
  <c r="AR19" i="1"/>
  <c r="AR18" i="1"/>
  <c r="AO36" i="1"/>
  <c r="AM36" i="1"/>
  <c r="AL36" i="1"/>
  <c r="AK36" i="1"/>
  <c r="AI36" i="1"/>
  <c r="AH36" i="1"/>
  <c r="AG36" i="1"/>
  <c r="AE36" i="1"/>
  <c r="AD36" i="1"/>
  <c r="AC36" i="1"/>
  <c r="AA36" i="1"/>
  <c r="Z36" i="1"/>
  <c r="Y36" i="1"/>
  <c r="W36" i="1"/>
  <c r="V36" i="1"/>
  <c r="U36" i="1"/>
  <c r="S36" i="1"/>
  <c r="R36" i="1"/>
  <c r="Q36" i="1"/>
  <c r="O36" i="1"/>
  <c r="AS26" i="1"/>
  <c r="AR26" i="1"/>
  <c r="AQ26" i="1"/>
  <c r="AS20" i="1"/>
  <c r="AQ20" i="1"/>
  <c r="AS15" i="1"/>
  <c r="AS37" i="1" s="1"/>
  <c r="AQ15" i="1"/>
  <c r="AQ37" i="1" s="1"/>
  <c r="AP36" i="1"/>
  <c r="AP20" i="1"/>
  <c r="M36" i="1"/>
  <c r="K36" i="1"/>
  <c r="J36" i="1"/>
  <c r="I36" i="1"/>
  <c r="H36" i="1"/>
  <c r="G36" i="1"/>
  <c r="N36" i="1"/>
  <c r="F36" i="1"/>
  <c r="B20" i="1"/>
  <c r="B17" i="1"/>
  <c r="B31" i="1" s="1"/>
  <c r="S37" i="1"/>
  <c r="R37" i="1"/>
  <c r="Q37" i="1"/>
  <c r="O37" i="1"/>
  <c r="N37" i="1"/>
  <c r="M37" i="1"/>
  <c r="K37" i="1"/>
  <c r="J37" i="1"/>
  <c r="I37" i="1"/>
  <c r="H37" i="1"/>
  <c r="G37" i="1"/>
  <c r="F58" i="1"/>
  <c r="F43" i="1" s="1"/>
  <c r="F51" i="1"/>
  <c r="F72" i="1" s="1"/>
  <c r="F45" i="1"/>
  <c r="F42" i="1" s="1"/>
  <c r="E58" i="1"/>
  <c r="E43" i="1" s="1"/>
  <c r="E51" i="1"/>
  <c r="E72" i="1" s="1"/>
  <c r="E45" i="1"/>
  <c r="E42" i="1" s="1"/>
  <c r="E41" i="1" s="1"/>
  <c r="E64" i="1" s="1"/>
  <c r="D58" i="1"/>
  <c r="D43" i="1" s="1"/>
  <c r="D51" i="1"/>
  <c r="D72" i="1" s="1"/>
  <c r="D45" i="1"/>
  <c r="D42" i="1" s="1"/>
  <c r="C58" i="1"/>
  <c r="C43" i="1" s="1"/>
  <c r="C51" i="1"/>
  <c r="C72" i="1" s="1"/>
  <c r="C73" i="1" s="1"/>
  <c r="C45" i="1"/>
  <c r="C42" i="1" s="1"/>
  <c r="AN24" i="1"/>
  <c r="AN22" i="1"/>
  <c r="AN19" i="1"/>
  <c r="AN18" i="1"/>
  <c r="AN16" i="1"/>
  <c r="AN15" i="1"/>
  <c r="AJ16" i="1"/>
  <c r="AJ15" i="1"/>
  <c r="AF24" i="1"/>
  <c r="AF22" i="1"/>
  <c r="AF19" i="1"/>
  <c r="AF18" i="1"/>
  <c r="AF16" i="1"/>
  <c r="AF15" i="1"/>
  <c r="AB24" i="1"/>
  <c r="AB22" i="1"/>
  <c r="AB19" i="1"/>
  <c r="AB18" i="1"/>
  <c r="AB16" i="1"/>
  <c r="AB15" i="1"/>
  <c r="X24" i="1"/>
  <c r="X22" i="1"/>
  <c r="X19" i="1"/>
  <c r="X18" i="1"/>
  <c r="X16" i="1"/>
  <c r="X15" i="1"/>
  <c r="T24" i="1"/>
  <c r="T16" i="1"/>
  <c r="T15" i="1"/>
  <c r="T22" i="1"/>
  <c r="T19" i="1"/>
  <c r="T18" i="1"/>
  <c r="P24" i="1"/>
  <c r="P22" i="1"/>
  <c r="P19" i="1"/>
  <c r="P18" i="1"/>
  <c r="P16" i="1"/>
  <c r="P15" i="1"/>
  <c r="L15" i="1"/>
  <c r="L36" i="1" s="1"/>
  <c r="L24" i="1"/>
  <c r="L22" i="1"/>
  <c r="L19" i="1"/>
  <c r="L18" i="1"/>
  <c r="L16" i="1"/>
  <c r="C20" i="1"/>
  <c r="C17" i="1"/>
  <c r="C31" i="1" s="1"/>
  <c r="F20" i="1"/>
  <c r="F17" i="1"/>
  <c r="F31" i="1" s="1"/>
  <c r="D20" i="1"/>
  <c r="D17" i="1"/>
  <c r="D31" i="1" s="1"/>
  <c r="E20" i="1"/>
  <c r="E17" i="1"/>
  <c r="E31" i="1" s="1"/>
  <c r="AO58" i="1"/>
  <c r="AO43" i="1" s="1"/>
  <c r="AO45" i="1"/>
  <c r="AO42" i="1" s="1"/>
  <c r="AN58" i="1"/>
  <c r="AN43" i="1" s="1"/>
  <c r="AN45" i="1"/>
  <c r="AN42" i="1" s="1"/>
  <c r="AM58" i="1"/>
  <c r="AM43" i="1" s="1"/>
  <c r="AM45" i="1"/>
  <c r="AM42" i="1" s="1"/>
  <c r="AJ58" i="1"/>
  <c r="AJ43" i="1" s="1"/>
  <c r="AJ45" i="1"/>
  <c r="AJ42" i="1" s="1"/>
  <c r="AL58" i="1"/>
  <c r="AL43" i="1" s="1"/>
  <c r="AL45" i="1"/>
  <c r="AL42" i="1" s="1"/>
  <c r="AL41" i="1" s="1"/>
  <c r="AL64" i="1" s="1"/>
  <c r="AK58" i="1"/>
  <c r="AK43" i="1" s="1"/>
  <c r="AK45" i="1"/>
  <c r="AK42" i="1" s="1"/>
  <c r="AI58" i="1"/>
  <c r="AI43" i="1" s="1"/>
  <c r="AI45" i="1"/>
  <c r="AI42" i="1" s="1"/>
  <c r="AH58" i="1"/>
  <c r="AH43" i="1" s="1"/>
  <c r="AH45" i="1"/>
  <c r="AH42" i="1" s="1"/>
  <c r="AG58" i="1"/>
  <c r="AG43" i="1" s="1"/>
  <c r="AG45" i="1"/>
  <c r="AG42" i="1" s="1"/>
  <c r="AG41" i="1" s="1"/>
  <c r="AG64" i="1" s="1"/>
  <c r="AF58" i="1"/>
  <c r="AF43" i="1" s="1"/>
  <c r="AF45" i="1"/>
  <c r="AF42" i="1" s="1"/>
  <c r="AE58" i="1"/>
  <c r="AE43" i="1" s="1"/>
  <c r="AE45" i="1"/>
  <c r="AE42" i="1" s="1"/>
  <c r="AD58" i="1"/>
  <c r="AD43" i="1" s="1"/>
  <c r="AD45" i="1"/>
  <c r="AD42" i="1" s="1"/>
  <c r="AC58" i="1"/>
  <c r="AC43" i="1" s="1"/>
  <c r="AC45" i="1"/>
  <c r="AC42" i="1" s="1"/>
  <c r="AC41" i="1" s="1"/>
  <c r="AC64" i="1" s="1"/>
  <c r="AB58" i="1"/>
  <c r="AB43" i="1" s="1"/>
  <c r="AB45" i="1"/>
  <c r="AB42" i="1" s="1"/>
  <c r="AA58" i="1"/>
  <c r="AA43" i="1" s="1"/>
  <c r="AA45" i="1"/>
  <c r="AA42" i="1" s="1"/>
  <c r="Z58" i="1"/>
  <c r="Z43" i="1" s="1"/>
  <c r="Z45" i="1"/>
  <c r="Z42" i="1" s="1"/>
  <c r="Y58" i="1"/>
  <c r="Y43" i="1" s="1"/>
  <c r="Y45" i="1"/>
  <c r="Y42" i="1" s="1"/>
  <c r="Y41" i="1" s="1"/>
  <c r="Y64" i="1" s="1"/>
  <c r="X58" i="1"/>
  <c r="X43" i="1" s="1"/>
  <c r="X45" i="1"/>
  <c r="X42" i="1" s="1"/>
  <c r="W58" i="1"/>
  <c r="W43" i="1" s="1"/>
  <c r="W45" i="1"/>
  <c r="W42" i="1" s="1"/>
  <c r="V58" i="1"/>
  <c r="V43" i="1" s="1"/>
  <c r="V45" i="1"/>
  <c r="V42" i="1" s="1"/>
  <c r="U58" i="1"/>
  <c r="U43" i="1" s="1"/>
  <c r="U45" i="1"/>
  <c r="U42" i="1" s="1"/>
  <c r="U41" i="1" s="1"/>
  <c r="U64" i="1" s="1"/>
  <c r="T58" i="1"/>
  <c r="T43" i="1" s="1"/>
  <c r="T45" i="1"/>
  <c r="T42" i="1" s="1"/>
  <c r="S58" i="1"/>
  <c r="S43" i="1" s="1"/>
  <c r="S45" i="1"/>
  <c r="S42" i="1" s="1"/>
  <c r="R58" i="1"/>
  <c r="R43" i="1" s="1"/>
  <c r="R45" i="1"/>
  <c r="R42" i="1" s="1"/>
  <c r="Q58" i="1"/>
  <c r="Q43" i="1" s="1"/>
  <c r="Q51" i="1"/>
  <c r="Q72" i="1" s="1"/>
  <c r="Q45" i="1"/>
  <c r="Q42" i="1" s="1"/>
  <c r="P58" i="1"/>
  <c r="P43" i="1" s="1"/>
  <c r="P51" i="1"/>
  <c r="P72" i="1" s="1"/>
  <c r="P45" i="1"/>
  <c r="P42" i="1" s="1"/>
  <c r="N58" i="1"/>
  <c r="N43" i="1" s="1"/>
  <c r="N51" i="1"/>
  <c r="N72" i="1" s="1"/>
  <c r="N45" i="1"/>
  <c r="N42" i="1" s="1"/>
  <c r="G58" i="1"/>
  <c r="G43" i="1" s="1"/>
  <c r="H51" i="1"/>
  <c r="H72" i="1" s="1"/>
  <c r="H45" i="1"/>
  <c r="H42" i="1" s="1"/>
  <c r="O58" i="1"/>
  <c r="O43" i="1" s="1"/>
  <c r="O51" i="1"/>
  <c r="O72" i="1" s="1"/>
  <c r="O45" i="1"/>
  <c r="O42" i="1" s="1"/>
  <c r="M58" i="1"/>
  <c r="M43" i="1" s="1"/>
  <c r="K58" i="1"/>
  <c r="K43" i="1" s="1"/>
  <c r="J58" i="1"/>
  <c r="J43" i="1" s="1"/>
  <c r="L58" i="1"/>
  <c r="L43" i="1" s="1"/>
  <c r="J51" i="1"/>
  <c r="J72" i="1" s="1"/>
  <c r="J45" i="1"/>
  <c r="J42" i="1" s="1"/>
  <c r="M51" i="1"/>
  <c r="M72" i="1" s="1"/>
  <c r="M45" i="1"/>
  <c r="M42" i="1" s="1"/>
  <c r="L51" i="1"/>
  <c r="L72" i="1" s="1"/>
  <c r="L45" i="1"/>
  <c r="L42" i="1" s="1"/>
  <c r="K51" i="1"/>
  <c r="K72" i="1" s="1"/>
  <c r="K45" i="1"/>
  <c r="K42" i="1" s="1"/>
  <c r="H58" i="1"/>
  <c r="H43" i="1" s="1"/>
  <c r="I60" i="1"/>
  <c r="I62" i="1" s="1"/>
  <c r="I53" i="1"/>
  <c r="G52" i="1"/>
  <c r="H20" i="1"/>
  <c r="H17" i="1"/>
  <c r="H31" i="1" s="1"/>
  <c r="G20" i="1"/>
  <c r="G17" i="1"/>
  <c r="G31" i="1" s="1"/>
  <c r="O20" i="1"/>
  <c r="O17" i="1"/>
  <c r="O31" i="1" s="1"/>
  <c r="N20" i="1"/>
  <c r="N17" i="1"/>
  <c r="M20" i="1"/>
  <c r="M17" i="1"/>
  <c r="K20" i="1"/>
  <c r="K17" i="1"/>
  <c r="K31" i="1" s="1"/>
  <c r="J20" i="1"/>
  <c r="J17" i="1"/>
  <c r="I20" i="1"/>
  <c r="I17" i="1"/>
  <c r="L8" i="2"/>
  <c r="BR34" i="1" s="1"/>
  <c r="L4" i="2"/>
  <c r="L7" i="2" s="1"/>
  <c r="AO37" i="1"/>
  <c r="U37" i="1"/>
  <c r="V37" i="1"/>
  <c r="W37" i="1"/>
  <c r="Y37" i="1"/>
  <c r="Q20" i="1"/>
  <c r="Q17" i="1"/>
  <c r="R20" i="1"/>
  <c r="R17" i="1"/>
  <c r="S20" i="1"/>
  <c r="S17" i="1"/>
  <c r="S31" i="1" s="1"/>
  <c r="U20" i="1"/>
  <c r="U17" i="1"/>
  <c r="AA37" i="1"/>
  <c r="Z37" i="1"/>
  <c r="AE37" i="1"/>
  <c r="AD37" i="1"/>
  <c r="AC37" i="1"/>
  <c r="AH37" i="1"/>
  <c r="AG37" i="1"/>
  <c r="AI37" i="1"/>
  <c r="AK37" i="1"/>
  <c r="AM37" i="1"/>
  <c r="AL37" i="1"/>
  <c r="AA20" i="1"/>
  <c r="Z20" i="1"/>
  <c r="Y20" i="1"/>
  <c r="W20" i="1"/>
  <c r="V20" i="1"/>
  <c r="AA17" i="1"/>
  <c r="AA31" i="1" s="1"/>
  <c r="Z17" i="1"/>
  <c r="Z31" i="1" s="1"/>
  <c r="Y17" i="1"/>
  <c r="W17" i="1"/>
  <c r="V17" i="1"/>
  <c r="V31" i="1" s="1"/>
  <c r="AJ20" i="1"/>
  <c r="AI20" i="1"/>
  <c r="AH20" i="1"/>
  <c r="AG20" i="1"/>
  <c r="AE20" i="1"/>
  <c r="AD20" i="1"/>
  <c r="AC20" i="1"/>
  <c r="AO20" i="1"/>
  <c r="AM20" i="1"/>
  <c r="AL20" i="1"/>
  <c r="AK20" i="1"/>
  <c r="AC17" i="1"/>
  <c r="AC31" i="1" s="1"/>
  <c r="AD17" i="1"/>
  <c r="AE17" i="1"/>
  <c r="AE31" i="1" s="1"/>
  <c r="AG17" i="1"/>
  <c r="AG31" i="1" s="1"/>
  <c r="AH17" i="1"/>
  <c r="AI17" i="1"/>
  <c r="AI31" i="1" s="1"/>
  <c r="AM17" i="1"/>
  <c r="AM31" i="1" s="1"/>
  <c r="AL17" i="1"/>
  <c r="AL31" i="1" s="1"/>
  <c r="AO17" i="1"/>
  <c r="AO31" i="1" s="1"/>
  <c r="AK17" i="1"/>
  <c r="AK31" i="1" s="1"/>
  <c r="O73" i="1" l="1"/>
  <c r="I41" i="1"/>
  <c r="I64" i="1" s="1"/>
  <c r="J75" i="1"/>
  <c r="J77" i="1" s="1"/>
  <c r="X75" i="1"/>
  <c r="X77" i="1" s="1"/>
  <c r="R73" i="1"/>
  <c r="Z73" i="1"/>
  <c r="AH73" i="1"/>
  <c r="AP73" i="1"/>
  <c r="AM73" i="1"/>
  <c r="AF75" i="1"/>
  <c r="AF77" i="1" s="1"/>
  <c r="AN75" i="1"/>
  <c r="AN77" i="1" s="1"/>
  <c r="T73" i="1"/>
  <c r="AB73" i="1"/>
  <c r="V41" i="1"/>
  <c r="V64" i="1" s="1"/>
  <c r="AD41" i="1"/>
  <c r="AD64" i="1" s="1"/>
  <c r="K73" i="1"/>
  <c r="D73" i="1"/>
  <c r="L73" i="1"/>
  <c r="P75" i="1"/>
  <c r="P77" i="1" s="1"/>
  <c r="C75" i="1"/>
  <c r="C77" i="1" s="1"/>
  <c r="Q75" i="1"/>
  <c r="Q77" i="1" s="1"/>
  <c r="Y75" i="1"/>
  <c r="Y77" i="1" s="1"/>
  <c r="AG75" i="1"/>
  <c r="AG77" i="1" s="1"/>
  <c r="AO75" i="1"/>
  <c r="AO77" i="1" s="1"/>
  <c r="AJ73" i="1"/>
  <c r="E73" i="1"/>
  <c r="M73" i="1"/>
  <c r="U73" i="1"/>
  <c r="AC73" i="1"/>
  <c r="AK73" i="1"/>
  <c r="AP75" i="1"/>
  <c r="AP77" i="1" s="1"/>
  <c r="K75" i="1"/>
  <c r="K77" i="1" s="1"/>
  <c r="S75" i="1"/>
  <c r="S77" i="1" s="1"/>
  <c r="AA75" i="1"/>
  <c r="AA77" i="1" s="1"/>
  <c r="AI75" i="1"/>
  <c r="AI77" i="1" s="1"/>
  <c r="F73" i="1"/>
  <c r="N73" i="1"/>
  <c r="V73" i="1"/>
  <c r="AD73" i="1"/>
  <c r="AL73" i="1"/>
  <c r="R75" i="1"/>
  <c r="R77" i="1" s="1"/>
  <c r="AH75" i="1"/>
  <c r="AH77" i="1" s="1"/>
  <c r="D75" i="1"/>
  <c r="D77" i="1" s="1"/>
  <c r="L75" i="1"/>
  <c r="L77" i="1" s="1"/>
  <c r="T75" i="1"/>
  <c r="T77" i="1" s="1"/>
  <c r="AB75" i="1"/>
  <c r="AB77" i="1" s="1"/>
  <c r="AJ75" i="1"/>
  <c r="AJ77" i="1" s="1"/>
  <c r="E75" i="1"/>
  <c r="E77" i="1" s="1"/>
  <c r="M75" i="1"/>
  <c r="M77" i="1" s="1"/>
  <c r="U75" i="1"/>
  <c r="U77" i="1" s="1"/>
  <c r="AC75" i="1"/>
  <c r="AC77" i="1" s="1"/>
  <c r="AK75" i="1"/>
  <c r="AK77" i="1" s="1"/>
  <c r="H73" i="1"/>
  <c r="P73" i="1"/>
  <c r="X73" i="1"/>
  <c r="AF73" i="1"/>
  <c r="AN73" i="1"/>
  <c r="Z75" i="1"/>
  <c r="Z77" i="1" s="1"/>
  <c r="F75" i="1"/>
  <c r="F77" i="1" s="1"/>
  <c r="N75" i="1"/>
  <c r="N77" i="1" s="1"/>
  <c r="V75" i="1"/>
  <c r="V77" i="1" s="1"/>
  <c r="AD75" i="1"/>
  <c r="AD77" i="1" s="1"/>
  <c r="AL75" i="1"/>
  <c r="AL77" i="1" s="1"/>
  <c r="Q73" i="1"/>
  <c r="L41" i="1"/>
  <c r="L64" i="1" s="1"/>
  <c r="N41" i="1"/>
  <c r="N64" i="1" s="1"/>
  <c r="D41" i="1"/>
  <c r="D64" i="1" s="1"/>
  <c r="G75" i="1"/>
  <c r="G77" i="1" s="1"/>
  <c r="O75" i="1"/>
  <c r="O77" i="1" s="1"/>
  <c r="W75" i="1"/>
  <c r="W77" i="1" s="1"/>
  <c r="AE75" i="1"/>
  <c r="AE77" i="1" s="1"/>
  <c r="AM75" i="1"/>
  <c r="AM77" i="1" s="1"/>
  <c r="J73" i="1"/>
  <c r="AP41" i="1"/>
  <c r="AP64" i="1" s="1"/>
  <c r="AO41" i="1"/>
  <c r="AO64" i="1" s="1"/>
  <c r="O41" i="1"/>
  <c r="O64" i="1" s="1"/>
  <c r="S41" i="1"/>
  <c r="S64" i="1" s="1"/>
  <c r="W41" i="1"/>
  <c r="W64" i="1" s="1"/>
  <c r="AA41" i="1"/>
  <c r="AA64" i="1" s="1"/>
  <c r="AE41" i="1"/>
  <c r="AE64" i="1" s="1"/>
  <c r="AI41" i="1"/>
  <c r="AI64" i="1" s="1"/>
  <c r="AM41" i="1"/>
  <c r="AM64" i="1" s="1"/>
  <c r="AJ41" i="1"/>
  <c r="AJ64" i="1" s="1"/>
  <c r="M41" i="1"/>
  <c r="M64" i="1" s="1"/>
  <c r="T41" i="1"/>
  <c r="T64" i="1" s="1"/>
  <c r="AB41" i="1"/>
  <c r="AB64" i="1" s="1"/>
  <c r="AK41" i="1"/>
  <c r="AK64" i="1" s="1"/>
  <c r="C41" i="1"/>
  <c r="C64" i="1" s="1"/>
  <c r="K41" i="1"/>
  <c r="K64" i="1" s="1"/>
  <c r="Q41" i="1"/>
  <c r="Q64" i="1" s="1"/>
  <c r="F41" i="1"/>
  <c r="F64" i="1" s="1"/>
  <c r="H41" i="1"/>
  <c r="H64" i="1" s="1"/>
  <c r="AN41" i="1"/>
  <c r="AN64" i="1" s="1"/>
  <c r="Z41" i="1"/>
  <c r="Z64" i="1" s="1"/>
  <c r="R41" i="1"/>
  <c r="R64" i="1" s="1"/>
  <c r="P41" i="1"/>
  <c r="P64" i="1" s="1"/>
  <c r="AF41" i="1"/>
  <c r="AF64" i="1" s="1"/>
  <c r="J41" i="1"/>
  <c r="J64" i="1" s="1"/>
  <c r="AH41" i="1"/>
  <c r="AH64" i="1" s="1"/>
  <c r="G41" i="1"/>
  <c r="G64" i="1" s="1"/>
  <c r="X41" i="1"/>
  <c r="X64" i="1" s="1"/>
  <c r="AP13" i="1"/>
  <c r="AO13" i="1"/>
  <c r="AX21" i="1"/>
  <c r="BE19" i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E18" i="1"/>
  <c r="BF18" i="1" s="1"/>
  <c r="BB21" i="1"/>
  <c r="BG27" i="1"/>
  <c r="BH27" i="1" s="1"/>
  <c r="BI27" i="1" s="1"/>
  <c r="BJ27" i="1" s="1"/>
  <c r="BK27" i="1" s="1"/>
  <c r="BL27" i="1" s="1"/>
  <c r="BM27" i="1" s="1"/>
  <c r="BN27" i="1" s="1"/>
  <c r="BO27" i="1" s="1"/>
  <c r="BD21" i="1"/>
  <c r="AU21" i="1"/>
  <c r="AU32" i="1" s="1"/>
  <c r="BA21" i="1"/>
  <c r="AZ21" i="1"/>
  <c r="BC21" i="1"/>
  <c r="AW21" i="1"/>
  <c r="AY21" i="1"/>
  <c r="AV21" i="1"/>
  <c r="AV32" i="1" s="1"/>
  <c r="AV31" i="1"/>
  <c r="AB37" i="1"/>
  <c r="AJ36" i="1"/>
  <c r="P36" i="1"/>
  <c r="AR20" i="1"/>
  <c r="X36" i="1"/>
  <c r="AN20" i="1"/>
  <c r="AQ36" i="1"/>
  <c r="BC31" i="1"/>
  <c r="AQ33" i="1"/>
  <c r="AS36" i="1"/>
  <c r="AQ17" i="1"/>
  <c r="AQ31" i="1" s="1"/>
  <c r="AF36" i="1"/>
  <c r="AN36" i="1"/>
  <c r="AS33" i="1"/>
  <c r="AU31" i="1"/>
  <c r="AV36" i="1"/>
  <c r="X17" i="1"/>
  <c r="X31" i="1" s="1"/>
  <c r="T36" i="1"/>
  <c r="AB36" i="1"/>
  <c r="AR22" i="1"/>
  <c r="AS22" i="1" s="1"/>
  <c r="AB20" i="1"/>
  <c r="AZ36" i="1"/>
  <c r="AS17" i="1"/>
  <c r="AR15" i="1"/>
  <c r="BE15" i="1" s="1"/>
  <c r="AW36" i="1"/>
  <c r="AP37" i="1"/>
  <c r="BD31" i="1"/>
  <c r="AY31" i="1"/>
  <c r="AJ17" i="1"/>
  <c r="AJ21" i="1" s="1"/>
  <c r="AF37" i="1"/>
  <c r="AN37" i="1"/>
  <c r="P17" i="1"/>
  <c r="P31" i="1" s="1"/>
  <c r="T37" i="1"/>
  <c r="AF17" i="1"/>
  <c r="AF31" i="1" s="1"/>
  <c r="T17" i="1"/>
  <c r="T31" i="1" s="1"/>
  <c r="AB17" i="1"/>
  <c r="AB31" i="1" s="1"/>
  <c r="AN17" i="1"/>
  <c r="AN31" i="1" s="1"/>
  <c r="P37" i="1"/>
  <c r="AJ37" i="1"/>
  <c r="AF20" i="1"/>
  <c r="X37" i="1"/>
  <c r="L37" i="1"/>
  <c r="T20" i="1"/>
  <c r="X20" i="1"/>
  <c r="B21" i="1"/>
  <c r="B32" i="1" s="1"/>
  <c r="P20" i="1"/>
  <c r="L20" i="1"/>
  <c r="C21" i="1"/>
  <c r="H21" i="1"/>
  <c r="F21" i="1"/>
  <c r="D21" i="1"/>
  <c r="E21" i="1"/>
  <c r="G21" i="1"/>
  <c r="N21" i="1"/>
  <c r="M21" i="1"/>
  <c r="J21" i="1"/>
  <c r="I21" i="1"/>
  <c r="I31" i="1"/>
  <c r="J31" i="1"/>
  <c r="K21" i="1"/>
  <c r="N31" i="1"/>
  <c r="O21" i="1"/>
  <c r="M31" i="1"/>
  <c r="AC21" i="1"/>
  <c r="S21" i="1"/>
  <c r="Q21" i="1"/>
  <c r="R21" i="1"/>
  <c r="R31" i="1"/>
  <c r="U21" i="1"/>
  <c r="Q31" i="1"/>
  <c r="U31" i="1"/>
  <c r="Y21" i="1"/>
  <c r="AI21" i="1"/>
  <c r="W21" i="1"/>
  <c r="AK21" i="1"/>
  <c r="AL21" i="1"/>
  <c r="Z21" i="1"/>
  <c r="AO21" i="1"/>
  <c r="W31" i="1"/>
  <c r="Y31" i="1"/>
  <c r="V21" i="1"/>
  <c r="AM21" i="1"/>
  <c r="AG21" i="1"/>
  <c r="AA21" i="1"/>
  <c r="AE21" i="1"/>
  <c r="AD21" i="1"/>
  <c r="AD31" i="1"/>
  <c r="AH21" i="1"/>
  <c r="AH31" i="1"/>
  <c r="W23" i="1" l="1"/>
  <c r="AI32" i="1"/>
  <c r="Y23" i="1"/>
  <c r="Y34" i="1" s="1"/>
  <c r="Y65" i="1" s="1"/>
  <c r="Y39" i="1" s="1"/>
  <c r="M23" i="1"/>
  <c r="M25" i="1" s="1"/>
  <c r="AK32" i="1"/>
  <c r="Q23" i="1"/>
  <c r="Q34" i="1" s="1"/>
  <c r="Q65" i="1" s="1"/>
  <c r="Q39" i="1" s="1"/>
  <c r="I32" i="1"/>
  <c r="AD23" i="1"/>
  <c r="AD34" i="1" s="1"/>
  <c r="AD65" i="1" s="1"/>
  <c r="AD39" i="1" s="1"/>
  <c r="AO32" i="1"/>
  <c r="O32" i="1"/>
  <c r="N23" i="1"/>
  <c r="N34" i="1" s="1"/>
  <c r="N65" i="1" s="1"/>
  <c r="N39" i="1" s="1"/>
  <c r="S32" i="1"/>
  <c r="AH32" i="1"/>
  <c r="AC32" i="1"/>
  <c r="J23" i="1"/>
  <c r="J34" i="1" s="1"/>
  <c r="J65" i="1" s="1"/>
  <c r="J39" i="1" s="1"/>
  <c r="AE32" i="1"/>
  <c r="Z23" i="1"/>
  <c r="Z25" i="1" s="1"/>
  <c r="Z33" i="1" s="1"/>
  <c r="U32" i="1"/>
  <c r="G32" i="1"/>
  <c r="AJ32" i="1"/>
  <c r="R23" i="1"/>
  <c r="AM32" i="1"/>
  <c r="H32" i="1"/>
  <c r="C32" i="1"/>
  <c r="AA32" i="1"/>
  <c r="AL32" i="1"/>
  <c r="K32" i="1"/>
  <c r="BE20" i="1"/>
  <c r="BE22" i="1"/>
  <c r="BA32" i="1"/>
  <c r="AU23" i="1"/>
  <c r="AU34" i="1" s="1"/>
  <c r="BC32" i="1"/>
  <c r="AQ16" i="1"/>
  <c r="BA23" i="1"/>
  <c r="BA34" i="1" s="1"/>
  <c r="AQ21" i="1"/>
  <c r="AQ32" i="1" s="1"/>
  <c r="AY32" i="1"/>
  <c r="AJ31" i="1"/>
  <c r="X21" i="1"/>
  <c r="BD36" i="1"/>
  <c r="AR37" i="1"/>
  <c r="AR33" i="1"/>
  <c r="AR36" i="1"/>
  <c r="AR17" i="1"/>
  <c r="AR16" i="1" s="1"/>
  <c r="AS31" i="1"/>
  <c r="AS21" i="1"/>
  <c r="BB36" i="1"/>
  <c r="BC36" i="1"/>
  <c r="AS16" i="1"/>
  <c r="BA36" i="1"/>
  <c r="AV23" i="1"/>
  <c r="AV34" i="1" s="1"/>
  <c r="BF15" i="1"/>
  <c r="BG15" i="1" s="1"/>
  <c r="BH15" i="1" s="1"/>
  <c r="BI15" i="1" s="1"/>
  <c r="BJ15" i="1" s="1"/>
  <c r="BK15" i="1" s="1"/>
  <c r="BL15" i="1" s="1"/>
  <c r="BM15" i="1" s="1"/>
  <c r="BN15" i="1" s="1"/>
  <c r="BO15" i="1" s="1"/>
  <c r="BA31" i="1"/>
  <c r="AX36" i="1"/>
  <c r="BG18" i="1"/>
  <c r="BF20" i="1"/>
  <c r="AX31" i="1"/>
  <c r="AY36" i="1"/>
  <c r="AX32" i="1"/>
  <c r="AX23" i="1"/>
  <c r="AX34" i="1" s="1"/>
  <c r="AB21" i="1"/>
  <c r="T21" i="1"/>
  <c r="P21" i="1"/>
  <c r="AF21" i="1"/>
  <c r="AN21" i="1"/>
  <c r="B23" i="1"/>
  <c r="B34" i="1" s="1"/>
  <c r="C23" i="1"/>
  <c r="C34" i="1" s="1"/>
  <c r="C65" i="1" s="1"/>
  <c r="C39" i="1" s="1"/>
  <c r="H23" i="1"/>
  <c r="H34" i="1" s="1"/>
  <c r="H65" i="1" s="1"/>
  <c r="H39" i="1" s="1"/>
  <c r="G23" i="1"/>
  <c r="G34" i="1" s="1"/>
  <c r="G65" i="1" s="1"/>
  <c r="G39" i="1" s="1"/>
  <c r="F32" i="1"/>
  <c r="F23" i="1"/>
  <c r="F34" i="1" s="1"/>
  <c r="F65" i="1" s="1"/>
  <c r="F39" i="1" s="1"/>
  <c r="D32" i="1"/>
  <c r="D23" i="1"/>
  <c r="E32" i="1"/>
  <c r="E23" i="1"/>
  <c r="N32" i="1"/>
  <c r="M32" i="1"/>
  <c r="O23" i="1"/>
  <c r="O34" i="1" s="1"/>
  <c r="O65" i="1" s="1"/>
  <c r="O39" i="1" s="1"/>
  <c r="J32" i="1"/>
  <c r="I23" i="1"/>
  <c r="I34" i="1" s="1"/>
  <c r="I65" i="1" s="1"/>
  <c r="I39" i="1" s="1"/>
  <c r="K23" i="1"/>
  <c r="K34" i="1" s="1"/>
  <c r="K65" i="1" s="1"/>
  <c r="K39" i="1" s="1"/>
  <c r="N25" i="1"/>
  <c r="Q32" i="1"/>
  <c r="AC23" i="1"/>
  <c r="AC25" i="1" s="1"/>
  <c r="AI23" i="1"/>
  <c r="AI25" i="1" s="1"/>
  <c r="Y32" i="1"/>
  <c r="U23" i="1"/>
  <c r="U34" i="1" s="1"/>
  <c r="U65" i="1" s="1"/>
  <c r="U39" i="1" s="1"/>
  <c r="S23" i="1"/>
  <c r="S34" i="1" s="1"/>
  <c r="S65" i="1" s="1"/>
  <c r="S39" i="1" s="1"/>
  <c r="R32" i="1"/>
  <c r="R25" i="1"/>
  <c r="R34" i="1"/>
  <c r="R65" i="1" s="1"/>
  <c r="R39" i="1" s="1"/>
  <c r="W32" i="1"/>
  <c r="AA23" i="1"/>
  <c r="AA34" i="1" s="1"/>
  <c r="AA65" i="1" s="1"/>
  <c r="AA39" i="1" s="1"/>
  <c r="AL23" i="1"/>
  <c r="AL25" i="1" s="1"/>
  <c r="AK23" i="1"/>
  <c r="AK25" i="1" s="1"/>
  <c r="Z34" i="1"/>
  <c r="Z65" i="1" s="1"/>
  <c r="Z39" i="1" s="1"/>
  <c r="Z32" i="1"/>
  <c r="AO23" i="1"/>
  <c r="AO25" i="1" s="1"/>
  <c r="AE23" i="1"/>
  <c r="AE25" i="1" s="1"/>
  <c r="AH23" i="1"/>
  <c r="V32" i="1"/>
  <c r="V23" i="1"/>
  <c r="W25" i="1"/>
  <c r="W34" i="1"/>
  <c r="W65" i="1" s="1"/>
  <c r="W39" i="1" s="1"/>
  <c r="AM23" i="1"/>
  <c r="AM34" i="1" s="1"/>
  <c r="AM65" i="1" s="1"/>
  <c r="AM39" i="1" s="1"/>
  <c r="Y25" i="1"/>
  <c r="Z26" i="1"/>
  <c r="AJ23" i="1"/>
  <c r="AJ25" i="1" s="1"/>
  <c r="AG32" i="1"/>
  <c r="AG23" i="1"/>
  <c r="AD32" i="1"/>
  <c r="Q25" i="1" l="1"/>
  <c r="AD25" i="1"/>
  <c r="AF32" i="1"/>
  <c r="AN32" i="1"/>
  <c r="T23" i="1"/>
  <c r="T34" i="1" s="1"/>
  <c r="T65" i="1"/>
  <c r="T39" i="1" s="1"/>
  <c r="M34" i="1"/>
  <c r="M65" i="1" s="1"/>
  <c r="M39" i="1" s="1"/>
  <c r="AB23" i="1"/>
  <c r="AB25" i="1" s="1"/>
  <c r="P23" i="1"/>
  <c r="P25" i="1" s="1"/>
  <c r="X23" i="1"/>
  <c r="X32" i="1"/>
  <c r="J25" i="1"/>
  <c r="J33" i="1" s="1"/>
  <c r="BE16" i="1"/>
  <c r="BF22" i="1"/>
  <c r="BG22" i="1" s="1"/>
  <c r="BH22" i="1" s="1"/>
  <c r="BI22" i="1" s="1"/>
  <c r="BJ22" i="1" s="1"/>
  <c r="BK22" i="1" s="1"/>
  <c r="BL22" i="1" s="1"/>
  <c r="BM22" i="1" s="1"/>
  <c r="BN22" i="1" s="1"/>
  <c r="BO22" i="1" s="1"/>
  <c r="AU25" i="1"/>
  <c r="AU33" i="1" s="1"/>
  <c r="AY23" i="1"/>
  <c r="AY34" i="1" s="1"/>
  <c r="BA25" i="1"/>
  <c r="BA33" i="1" s="1"/>
  <c r="AF23" i="1"/>
  <c r="AF34" i="1" s="1"/>
  <c r="AF65" i="1" s="1"/>
  <c r="AF39" i="1" s="1"/>
  <c r="AQ23" i="1"/>
  <c r="AQ24" i="1" s="1"/>
  <c r="AQ34" i="1" s="1"/>
  <c r="BD32" i="1"/>
  <c r="T32" i="1"/>
  <c r="AV25" i="1"/>
  <c r="AV26" i="1" s="1"/>
  <c r="AR31" i="1"/>
  <c r="AR21" i="1"/>
  <c r="AW31" i="1"/>
  <c r="BE36" i="1"/>
  <c r="BH18" i="1"/>
  <c r="BG20" i="1"/>
  <c r="BB31" i="1"/>
  <c r="AZ31" i="1"/>
  <c r="AS32" i="1"/>
  <c r="AS23" i="1"/>
  <c r="AS24" i="1" s="1"/>
  <c r="AS34" i="1" s="1"/>
  <c r="AX25" i="1"/>
  <c r="AX33" i="1" s="1"/>
  <c r="BD34" i="1"/>
  <c r="BD25" i="1"/>
  <c r="BC34" i="1"/>
  <c r="AB32" i="1"/>
  <c r="AN23" i="1"/>
  <c r="AN34" i="1" s="1"/>
  <c r="AN65" i="1" s="1"/>
  <c r="AN39" i="1" s="1"/>
  <c r="P32" i="1"/>
  <c r="P34" i="1"/>
  <c r="P65" i="1" s="1"/>
  <c r="P39" i="1" s="1"/>
  <c r="B25" i="1"/>
  <c r="B33" i="1" s="1"/>
  <c r="P33" i="1"/>
  <c r="P26" i="1"/>
  <c r="C25" i="1"/>
  <c r="C33" i="1" s="1"/>
  <c r="H25" i="1"/>
  <c r="G25" i="1"/>
  <c r="G33" i="1" s="1"/>
  <c r="F25" i="1"/>
  <c r="F33" i="1" s="1"/>
  <c r="D34" i="1"/>
  <c r="D65" i="1" s="1"/>
  <c r="D39" i="1" s="1"/>
  <c r="D25" i="1"/>
  <c r="E34" i="1"/>
  <c r="E65" i="1" s="1"/>
  <c r="E39" i="1" s="1"/>
  <c r="E25" i="1"/>
  <c r="O25" i="1"/>
  <c r="O33" i="1" s="1"/>
  <c r="I25" i="1"/>
  <c r="K25" i="1"/>
  <c r="K33" i="1" s="1"/>
  <c r="M26" i="1"/>
  <c r="M33" i="1"/>
  <c r="J26" i="1"/>
  <c r="N33" i="1"/>
  <c r="N26" i="1"/>
  <c r="AC34" i="1"/>
  <c r="AC65" i="1" s="1"/>
  <c r="AC39" i="1" s="1"/>
  <c r="AA25" i="1"/>
  <c r="AA33" i="1" s="1"/>
  <c r="V34" i="1"/>
  <c r="V65" i="1" s="1"/>
  <c r="V39" i="1" s="1"/>
  <c r="V25" i="1"/>
  <c r="AL34" i="1"/>
  <c r="AL65" i="1" s="1"/>
  <c r="AL39" i="1" s="1"/>
  <c r="AI34" i="1"/>
  <c r="AI65" i="1" s="1"/>
  <c r="AI39" i="1" s="1"/>
  <c r="U25" i="1"/>
  <c r="U33" i="1" s="1"/>
  <c r="S25" i="1"/>
  <c r="S26" i="1" s="1"/>
  <c r="AK34" i="1"/>
  <c r="AK65" i="1" s="1"/>
  <c r="AK39" i="1" s="1"/>
  <c r="R26" i="1"/>
  <c r="R33" i="1"/>
  <c r="Q33" i="1"/>
  <c r="Q26" i="1"/>
  <c r="AO34" i="1"/>
  <c r="AO65" i="1" s="1"/>
  <c r="AO39" i="1" s="1"/>
  <c r="AE34" i="1"/>
  <c r="AE65" i="1" s="1"/>
  <c r="AE39" i="1" s="1"/>
  <c r="AM25" i="1"/>
  <c r="AM33" i="1" s="1"/>
  <c r="W26" i="1"/>
  <c r="W33" i="1"/>
  <c r="AD33" i="1"/>
  <c r="AD26" i="1"/>
  <c r="AC33" i="1"/>
  <c r="AC26" i="1"/>
  <c r="AI26" i="1"/>
  <c r="AI33" i="1"/>
  <c r="Y26" i="1"/>
  <c r="Y33" i="1"/>
  <c r="AH34" i="1"/>
  <c r="AH65" i="1" s="1"/>
  <c r="AH39" i="1" s="1"/>
  <c r="AH25" i="1"/>
  <c r="X34" i="1"/>
  <c r="X65" i="1" s="1"/>
  <c r="X39" i="1" s="1"/>
  <c r="X25" i="1"/>
  <c r="AJ34" i="1"/>
  <c r="AJ65" i="1" s="1"/>
  <c r="AJ39" i="1" s="1"/>
  <c r="AJ26" i="1"/>
  <c r="AJ33" i="1"/>
  <c r="AG34" i="1"/>
  <c r="AG65" i="1" s="1"/>
  <c r="AG39" i="1" s="1"/>
  <c r="AG25" i="1"/>
  <c r="AE33" i="1"/>
  <c r="AE26" i="1"/>
  <c r="AO33" i="1"/>
  <c r="AO26" i="1"/>
  <c r="AK33" i="1"/>
  <c r="AK26" i="1"/>
  <c r="AL33" i="1"/>
  <c r="AL26" i="1"/>
  <c r="AB34" i="1" l="1"/>
  <c r="AB65" i="1" s="1"/>
  <c r="AB39" i="1" s="1"/>
  <c r="T25" i="1"/>
  <c r="T26" i="1" s="1"/>
  <c r="AF25" i="1"/>
  <c r="AF33" i="1" s="1"/>
  <c r="AU26" i="1"/>
  <c r="BA26" i="1"/>
  <c r="AY25" i="1"/>
  <c r="AY33" i="1" s="1"/>
  <c r="BF16" i="1"/>
  <c r="BG16" i="1" s="1"/>
  <c r="BH16" i="1" s="1"/>
  <c r="BI16" i="1" s="1"/>
  <c r="BJ16" i="1" s="1"/>
  <c r="BK16" i="1" s="1"/>
  <c r="BL16" i="1" s="1"/>
  <c r="BM16" i="1" s="1"/>
  <c r="BN16" i="1" s="1"/>
  <c r="BO16" i="1" s="1"/>
  <c r="AV33" i="1"/>
  <c r="BE17" i="1"/>
  <c r="BE21" i="1" s="1"/>
  <c r="AN25" i="1"/>
  <c r="AN26" i="1" s="1"/>
  <c r="BI18" i="1"/>
  <c r="BH20" i="1"/>
  <c r="BF36" i="1"/>
  <c r="AZ32" i="1"/>
  <c r="AZ23" i="1"/>
  <c r="BB23" i="1"/>
  <c r="BB32" i="1"/>
  <c r="AW23" i="1"/>
  <c r="AW32" i="1"/>
  <c r="AR32" i="1"/>
  <c r="AR23" i="1"/>
  <c r="AR24" i="1" s="1"/>
  <c r="AR34" i="1" s="1"/>
  <c r="AX26" i="1"/>
  <c r="BC33" i="1"/>
  <c r="BC26" i="1"/>
  <c r="BD33" i="1"/>
  <c r="BD26" i="1"/>
  <c r="B26" i="1"/>
  <c r="G26" i="1"/>
  <c r="C26" i="1"/>
  <c r="H33" i="1"/>
  <c r="H26" i="1"/>
  <c r="F26" i="1"/>
  <c r="D33" i="1"/>
  <c r="D26" i="1"/>
  <c r="E33" i="1"/>
  <c r="E26" i="1"/>
  <c r="O26" i="1"/>
  <c r="K26" i="1"/>
  <c r="I33" i="1"/>
  <c r="I26" i="1"/>
  <c r="U26" i="1"/>
  <c r="S33" i="1"/>
  <c r="AA26" i="1"/>
  <c r="V26" i="1"/>
  <c r="V33" i="1"/>
  <c r="AM26" i="1"/>
  <c r="AH26" i="1"/>
  <c r="AH33" i="1"/>
  <c r="X33" i="1"/>
  <c r="X26" i="1"/>
  <c r="AB26" i="1"/>
  <c r="AB33" i="1"/>
  <c r="AG26" i="1"/>
  <c r="AG33" i="1"/>
  <c r="T33" i="1" l="1"/>
  <c r="AF26" i="1"/>
  <c r="AY26" i="1"/>
  <c r="BE31" i="1"/>
  <c r="BF17" i="1"/>
  <c r="BF21" i="1" s="1"/>
  <c r="AN33" i="1"/>
  <c r="BE32" i="1"/>
  <c r="AW25" i="1"/>
  <c r="AW34" i="1"/>
  <c r="BB34" i="1"/>
  <c r="BB25" i="1"/>
  <c r="BG36" i="1"/>
  <c r="BG17" i="1"/>
  <c r="AZ25" i="1"/>
  <c r="AZ34" i="1"/>
  <c r="BI20" i="1"/>
  <c r="BJ18" i="1"/>
  <c r="BF31" i="1" l="1"/>
  <c r="BF23" i="1"/>
  <c r="BB26" i="1"/>
  <c r="BB33" i="1"/>
  <c r="BK18" i="1"/>
  <c r="BJ20" i="1"/>
  <c r="AZ26" i="1"/>
  <c r="AZ33" i="1"/>
  <c r="BF32" i="1"/>
  <c r="BG31" i="1"/>
  <c r="BG21" i="1"/>
  <c r="AW26" i="1"/>
  <c r="AW33" i="1"/>
  <c r="BH36" i="1"/>
  <c r="BH17" i="1"/>
  <c r="BF24" i="1" l="1"/>
  <c r="BF25" i="1" s="1"/>
  <c r="BF26" i="1" s="1"/>
  <c r="BI36" i="1"/>
  <c r="BI17" i="1"/>
  <c r="BH31" i="1"/>
  <c r="BH21" i="1"/>
  <c r="BK20" i="1"/>
  <c r="BL18" i="1"/>
  <c r="BG23" i="1"/>
  <c r="BG24" i="1" s="1"/>
  <c r="BG32" i="1"/>
  <c r="BM18" i="1" l="1"/>
  <c r="BL20" i="1"/>
  <c r="BH32" i="1"/>
  <c r="BH23" i="1"/>
  <c r="BH24" i="1" s="1"/>
  <c r="BI21" i="1"/>
  <c r="BI31" i="1"/>
  <c r="BJ36" i="1"/>
  <c r="BJ17" i="1"/>
  <c r="BI32" i="1" l="1"/>
  <c r="BI23" i="1"/>
  <c r="BI24" i="1" s="1"/>
  <c r="BK36" i="1"/>
  <c r="BK17" i="1"/>
  <c r="BJ31" i="1"/>
  <c r="BJ21" i="1"/>
  <c r="BM20" i="1"/>
  <c r="BN18" i="1"/>
  <c r="BK21" i="1" l="1"/>
  <c r="BK31" i="1"/>
  <c r="BL17" i="1"/>
  <c r="BL36" i="1"/>
  <c r="BO18" i="1"/>
  <c r="BO20" i="1" s="1"/>
  <c r="BN20" i="1"/>
  <c r="BJ23" i="1"/>
  <c r="BJ24" i="1" s="1"/>
  <c r="BJ32" i="1"/>
  <c r="BM36" i="1" l="1"/>
  <c r="BM17" i="1"/>
  <c r="BL21" i="1"/>
  <c r="BL31" i="1"/>
  <c r="BK32" i="1"/>
  <c r="BK23" i="1"/>
  <c r="BK24" i="1" s="1"/>
  <c r="BL32" i="1" l="1"/>
  <c r="BL23" i="1"/>
  <c r="BL24" i="1" s="1"/>
  <c r="BN36" i="1"/>
  <c r="BN17" i="1"/>
  <c r="BM31" i="1"/>
  <c r="BM21" i="1"/>
  <c r="BO17" i="1" l="1"/>
  <c r="BO36" i="1"/>
  <c r="BN31" i="1"/>
  <c r="BN21" i="1"/>
  <c r="BM23" i="1"/>
  <c r="BM24" i="1" s="1"/>
  <c r="BM32" i="1"/>
  <c r="BN32" i="1" l="1"/>
  <c r="BN23" i="1"/>
  <c r="BN24" i="1" s="1"/>
  <c r="BO31" i="1"/>
  <c r="BO21" i="1"/>
  <c r="BO23" i="1" l="1"/>
  <c r="BO24" i="1" s="1"/>
  <c r="BO32" i="1"/>
  <c r="L17" i="1" l="1"/>
  <c r="L21" i="1" s="1"/>
  <c r="L31" i="1" l="1"/>
  <c r="L32" i="1"/>
  <c r="L23" i="1"/>
  <c r="L34" i="1" l="1"/>
  <c r="L65" i="1" s="1"/>
  <c r="L39" i="1" s="1"/>
  <c r="L25" i="1"/>
  <c r="L33" i="1" l="1"/>
  <c r="L26" i="1"/>
  <c r="AP21" i="1"/>
  <c r="AP32" i="1" l="1"/>
  <c r="AP23" i="1"/>
  <c r="AP31" i="1"/>
  <c r="BE24" i="1" l="1"/>
  <c r="BE23" i="1"/>
  <c r="BE25" i="1" l="1"/>
  <c r="BE26" i="1" s="1"/>
  <c r="AP34" i="1"/>
  <c r="AP65" i="1" s="1"/>
  <c r="AP39" i="1" s="1"/>
  <c r="BE34" i="1"/>
  <c r="BF34" i="1"/>
  <c r="BF33" i="1"/>
  <c r="AP33" i="1"/>
  <c r="AP26" i="1"/>
  <c r="BE33" i="1" l="1"/>
  <c r="BG34" i="1"/>
  <c r="BG25" i="1"/>
  <c r="BG33" i="1" s="1"/>
  <c r="BG26" i="1" l="1"/>
  <c r="BH34" i="1"/>
  <c r="BH25" i="1"/>
  <c r="BH33" i="1" l="1"/>
  <c r="BH26" i="1"/>
  <c r="BI34" i="1"/>
  <c r="BI25" i="1"/>
  <c r="BI33" i="1" l="1"/>
  <c r="BI26" i="1"/>
  <c r="BJ34" i="1"/>
  <c r="BJ25" i="1"/>
  <c r="BJ33" i="1" l="1"/>
  <c r="BJ26" i="1"/>
  <c r="BK34" i="1"/>
  <c r="BK25" i="1"/>
  <c r="BK33" i="1" l="1"/>
  <c r="BK26" i="1"/>
  <c r="BL34" i="1"/>
  <c r="BL25" i="1"/>
  <c r="BL33" i="1" l="1"/>
  <c r="BL26" i="1"/>
  <c r="BM34" i="1"/>
  <c r="BM25" i="1"/>
  <c r="BM33" i="1" l="1"/>
  <c r="BM26" i="1"/>
  <c r="BN34" i="1"/>
  <c r="BN25" i="1"/>
  <c r="BN33" i="1" l="1"/>
  <c r="BN26" i="1"/>
  <c r="BO34" i="1"/>
  <c r="BO25" i="1"/>
  <c r="BP25" i="1" l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BR33" i="1" s="1"/>
  <c r="BR35" i="1" s="1"/>
  <c r="BR36" i="1" s="1"/>
  <c r="BR40" i="1" s="1"/>
  <c r="BO33" i="1"/>
  <c r="BO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tc={978BDA40-B380-4349-B614-66F5C562DB23}</author>
  </authors>
  <commentList>
    <comment ref="A58" authorId="0" shapeId="0" xr:uid="{978BDA40-B380-4349-B614-66F5C562DB23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Commcercial paper + Current Portion of Long term debt + Long term debt = Allt saman DEBT</t>
      </text>
    </comment>
  </commentList>
</comments>
</file>

<file path=xl/sharedStrings.xml><?xml version="1.0" encoding="utf-8"?>
<sst xmlns="http://schemas.openxmlformats.org/spreadsheetml/2006/main" count="132" uniqueCount="116">
  <si>
    <t>Income statement</t>
  </si>
  <si>
    <t>Q223</t>
  </si>
  <si>
    <t>Q123</t>
  </si>
  <si>
    <t>Q422</t>
  </si>
  <si>
    <t>Q322</t>
  </si>
  <si>
    <t>Q222</t>
  </si>
  <si>
    <t>Q122</t>
  </si>
  <si>
    <t>Q323</t>
  </si>
  <si>
    <t>Q423</t>
  </si>
  <si>
    <t>Q124</t>
  </si>
  <si>
    <t>Q421</t>
  </si>
  <si>
    <t>Q321</t>
  </si>
  <si>
    <t>Q221</t>
  </si>
  <si>
    <t>Q121</t>
  </si>
  <si>
    <t>Q420</t>
  </si>
  <si>
    <t>Q320</t>
  </si>
  <si>
    <t>Q220</t>
  </si>
  <si>
    <t>Q120</t>
  </si>
  <si>
    <t>Q419</t>
  </si>
  <si>
    <t>Q319</t>
  </si>
  <si>
    <t>Q219</t>
  </si>
  <si>
    <t>Q119</t>
  </si>
  <si>
    <t>Revenue</t>
  </si>
  <si>
    <t>COGS</t>
  </si>
  <si>
    <t>Gross Profit</t>
  </si>
  <si>
    <t>R&amp;D</t>
  </si>
  <si>
    <t>SG&amp;A</t>
  </si>
  <si>
    <t>Operating Expenses</t>
  </si>
  <si>
    <t>Operating Profit</t>
  </si>
  <si>
    <t>Gross Margin %</t>
  </si>
  <si>
    <t>Operating Margin %</t>
  </si>
  <si>
    <t>Net Profit</t>
  </si>
  <si>
    <t>Pretax income</t>
  </si>
  <si>
    <t>Taxes</t>
  </si>
  <si>
    <t>Interest income/expense</t>
  </si>
  <si>
    <t>Net income</t>
  </si>
  <si>
    <t>Net Margin %</t>
  </si>
  <si>
    <t xml:space="preserve"> </t>
  </si>
  <si>
    <t>Tax Rate %</t>
  </si>
  <si>
    <t>EPS</t>
  </si>
  <si>
    <t>Shares</t>
  </si>
  <si>
    <t>Revenue y/y</t>
  </si>
  <si>
    <t>Revenue q/q</t>
  </si>
  <si>
    <t>Q418</t>
  </si>
  <si>
    <t>Q318</t>
  </si>
  <si>
    <t>Q218</t>
  </si>
  <si>
    <t>Q118</t>
  </si>
  <si>
    <t>Q417</t>
  </si>
  <si>
    <t>Q317</t>
  </si>
  <si>
    <t>Price</t>
  </si>
  <si>
    <t>MC</t>
  </si>
  <si>
    <t>Cash</t>
  </si>
  <si>
    <t>Debt</t>
  </si>
  <si>
    <t>EV</t>
  </si>
  <si>
    <t>Net cash</t>
  </si>
  <si>
    <t xml:space="preserve">CEO: </t>
  </si>
  <si>
    <t>AAPL</t>
  </si>
  <si>
    <t>Balance Sheet</t>
  </si>
  <si>
    <t>A/R</t>
  </si>
  <si>
    <t>Inventories</t>
  </si>
  <si>
    <t>Vendor NTR</t>
  </si>
  <si>
    <t>OCA</t>
  </si>
  <si>
    <t>PP&amp;E</t>
  </si>
  <si>
    <t>Goodwill + Intangibles</t>
  </si>
  <si>
    <t>ONCA</t>
  </si>
  <si>
    <t>Assets</t>
  </si>
  <si>
    <t>Q217</t>
  </si>
  <si>
    <t>Q117</t>
  </si>
  <si>
    <t>Q416</t>
  </si>
  <si>
    <t>Q316</t>
  </si>
  <si>
    <t>Q216</t>
  </si>
  <si>
    <t>Q116</t>
  </si>
  <si>
    <t>Q415</t>
  </si>
  <si>
    <t>Q315</t>
  </si>
  <si>
    <t>Q215</t>
  </si>
  <si>
    <t>Q115</t>
  </si>
  <si>
    <t>A/P</t>
  </si>
  <si>
    <t>A/E</t>
  </si>
  <si>
    <t>D/R</t>
  </si>
  <si>
    <t>ONCL</t>
  </si>
  <si>
    <t>Liabilities</t>
  </si>
  <si>
    <t>S/E</t>
  </si>
  <si>
    <t>L+S/E</t>
  </si>
  <si>
    <t>Q414</t>
  </si>
  <si>
    <t>Q314</t>
  </si>
  <si>
    <t>Q214</t>
  </si>
  <si>
    <t>Q224</t>
  </si>
  <si>
    <t>Q324</t>
  </si>
  <si>
    <t>Q424</t>
  </si>
  <si>
    <t>Discount rate</t>
  </si>
  <si>
    <t>NPV</t>
  </si>
  <si>
    <t>Total value</t>
  </si>
  <si>
    <t>Per share</t>
  </si>
  <si>
    <t>Current</t>
  </si>
  <si>
    <t>UPSIDE/(DOWNSIDE)</t>
  </si>
  <si>
    <t>Tim Cook</t>
  </si>
  <si>
    <t>*In millions (15,000 is 15billion)</t>
  </si>
  <si>
    <t>Main</t>
  </si>
  <si>
    <t>Model</t>
  </si>
  <si>
    <t>iPhone</t>
  </si>
  <si>
    <t>Mac</t>
  </si>
  <si>
    <t>iPad</t>
  </si>
  <si>
    <t>Wearables, Home &amp; Acessories</t>
  </si>
  <si>
    <t>Services</t>
  </si>
  <si>
    <t>YoY % Growth</t>
  </si>
  <si>
    <t>Average % Growth</t>
  </si>
  <si>
    <t>Invested Capital</t>
  </si>
  <si>
    <t>NOPAT</t>
  </si>
  <si>
    <t>Plus - Intangibles</t>
  </si>
  <si>
    <t>Plus - Net PP&amp;E</t>
  </si>
  <si>
    <t>Plus - Operating working capital</t>
  </si>
  <si>
    <t>Plus - Net debt</t>
  </si>
  <si>
    <t>Plus - Equity</t>
  </si>
  <si>
    <t>Capital Employed</t>
  </si>
  <si>
    <t>ROCE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</si>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</sst>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#,##0"/>
    <numFmt numFmtId="165" formatCode="0;[Red]0"/>
    <numFmt numFmtId="166" formatCode="#,##0.00;[Red]#,##0.00"/>
    <numFmt numFmtId="167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0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i/>
      <sz val="14"/>
      <color theme="1"/>
      <name val="Arial"/>
      <family val="2"/>
    </font>
    <font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2" applyFont="1" applyAlignment="1">
      <alignment horizontal="center"/>
    </xf>
    <xf numFmtId="0" fontId="5" fillId="0" borderId="0" xfId="0" applyFont="1"/>
    <xf numFmtId="0" fontId="6" fillId="0" borderId="14" xfId="0" applyFont="1" applyBorder="1" applyAlignment="1">
      <alignment horizontal="center"/>
    </xf>
    <xf numFmtId="0" fontId="5" fillId="0" borderId="14" xfId="0" applyFont="1" applyBorder="1"/>
    <xf numFmtId="3" fontId="5" fillId="0" borderId="14" xfId="0" applyNumberFormat="1" applyFont="1" applyBorder="1"/>
    <xf numFmtId="2" fontId="5" fillId="0" borderId="14" xfId="0" applyNumberFormat="1" applyFont="1" applyBorder="1"/>
    <xf numFmtId="164" fontId="5" fillId="0" borderId="14" xfId="0" applyNumberFormat="1" applyFont="1" applyBorder="1"/>
    <xf numFmtId="166" fontId="5" fillId="0" borderId="14" xfId="0" applyNumberFormat="1" applyFont="1" applyBorder="1"/>
    <xf numFmtId="1" fontId="5" fillId="0" borderId="0" xfId="0" applyNumberFormat="1" applyFont="1"/>
    <xf numFmtId="0" fontId="7" fillId="2" borderId="0" xfId="2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3" fontId="10" fillId="2" borderId="4" xfId="0" applyNumberFormat="1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0" fontId="10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right"/>
    </xf>
    <xf numFmtId="9" fontId="5" fillId="2" borderId="11" xfId="0" applyNumberFormat="1" applyFont="1" applyFill="1" applyBorder="1" applyAlignment="1">
      <alignment horizontal="right"/>
    </xf>
    <xf numFmtId="164" fontId="10" fillId="2" borderId="0" xfId="0" applyNumberFormat="1" applyFont="1" applyFill="1"/>
    <xf numFmtId="164" fontId="11" fillId="0" borderId="0" xfId="0" applyNumberFormat="1" applyFont="1"/>
    <xf numFmtId="164" fontId="12" fillId="2" borderId="0" xfId="0" applyNumberFormat="1" applyFont="1" applyFill="1"/>
    <xf numFmtId="164" fontId="5" fillId="0" borderId="0" xfId="0" applyNumberFormat="1" applyFont="1"/>
    <xf numFmtId="164" fontId="11" fillId="0" borderId="2" xfId="0" applyNumberFormat="1" applyFont="1" applyBorder="1"/>
    <xf numFmtId="0" fontId="12" fillId="2" borderId="0" xfId="0" applyFont="1" applyFill="1"/>
    <xf numFmtId="164" fontId="5" fillId="0" borderId="2" xfId="0" applyNumberFormat="1" applyFont="1" applyBorder="1"/>
    <xf numFmtId="0" fontId="5" fillId="0" borderId="4" xfId="0" applyFont="1" applyBorder="1"/>
    <xf numFmtId="164" fontId="5" fillId="0" borderId="4" xfId="0" applyNumberFormat="1" applyFont="1" applyBorder="1"/>
    <xf numFmtId="0" fontId="10" fillId="2" borderId="0" xfId="0" applyFont="1" applyFill="1"/>
    <xf numFmtId="164" fontId="11" fillId="0" borderId="3" xfId="0" applyNumberFormat="1" applyFont="1" applyBorder="1"/>
    <xf numFmtId="0" fontId="11" fillId="0" borderId="3" xfId="0" applyFont="1" applyBorder="1"/>
    <xf numFmtId="165" fontId="12" fillId="2" borderId="0" xfId="0" applyNumberFormat="1" applyFont="1" applyFill="1"/>
    <xf numFmtId="165" fontId="5" fillId="0" borderId="0" xfId="0" applyNumberFormat="1" applyFont="1"/>
    <xf numFmtId="164" fontId="11" fillId="0" borderId="1" xfId="0" applyNumberFormat="1" applyFont="1" applyBorder="1"/>
    <xf numFmtId="0" fontId="11" fillId="0" borderId="1" xfId="0" applyFont="1" applyBorder="1"/>
    <xf numFmtId="166" fontId="5" fillId="0" borderId="0" xfId="0" applyNumberFormat="1" applyFont="1"/>
    <xf numFmtId="9" fontId="5" fillId="0" borderId="0" xfId="1" applyFont="1"/>
    <xf numFmtId="9" fontId="13" fillId="2" borderId="4" xfId="1" applyFont="1" applyFill="1" applyBorder="1"/>
    <xf numFmtId="9" fontId="14" fillId="0" borderId="4" xfId="1" applyFont="1" applyBorder="1"/>
    <xf numFmtId="9" fontId="15" fillId="0" borderId="5" xfId="1" applyFont="1" applyBorder="1"/>
    <xf numFmtId="9" fontId="15" fillId="0" borderId="6" xfId="1" applyFont="1" applyBorder="1"/>
    <xf numFmtId="9" fontId="13" fillId="2" borderId="0" xfId="1" applyFont="1" applyFill="1" applyBorder="1"/>
    <xf numFmtId="9" fontId="14" fillId="0" borderId="0" xfId="1" applyFont="1" applyBorder="1"/>
    <xf numFmtId="10" fontId="15" fillId="0" borderId="6" xfId="1" applyNumberFormat="1" applyFont="1" applyBorder="1"/>
    <xf numFmtId="0" fontId="13" fillId="2" borderId="0" xfId="0" applyFont="1" applyFill="1"/>
    <xf numFmtId="3" fontId="15" fillId="0" borderId="6" xfId="1" applyNumberFormat="1" applyFont="1" applyBorder="1"/>
    <xf numFmtId="0" fontId="14" fillId="0" borderId="0" xfId="0" applyFont="1"/>
    <xf numFmtId="0" fontId="13" fillId="2" borderId="11" xfId="0" applyFont="1" applyFill="1" applyBorder="1"/>
    <xf numFmtId="9" fontId="14" fillId="0" borderId="11" xfId="1" applyFont="1" applyBorder="1"/>
    <xf numFmtId="0" fontId="14" fillId="0" borderId="11" xfId="0" applyFont="1" applyBorder="1"/>
    <xf numFmtId="9" fontId="16" fillId="0" borderId="7" xfId="1" applyFont="1" applyBorder="1"/>
    <xf numFmtId="3" fontId="16" fillId="0" borderId="8" xfId="0" applyNumberFormat="1" applyFont="1" applyBorder="1"/>
    <xf numFmtId="167" fontId="17" fillId="2" borderId="4" xfId="0" applyNumberFormat="1" applyFont="1" applyFill="1" applyBorder="1"/>
    <xf numFmtId="167" fontId="18" fillId="0" borderId="4" xfId="0" applyNumberFormat="1" applyFont="1" applyBorder="1"/>
    <xf numFmtId="167" fontId="18" fillId="0" borderId="4" xfId="1" applyNumberFormat="1" applyFont="1" applyBorder="1"/>
    <xf numFmtId="9" fontId="18" fillId="0" borderId="4" xfId="1" applyFont="1" applyBorder="1"/>
    <xf numFmtId="167" fontId="19" fillId="0" borderId="5" xfId="1" applyNumberFormat="1" applyFont="1" applyBorder="1"/>
    <xf numFmtId="2" fontId="19" fillId="0" borderId="6" xfId="1" applyNumberFormat="1" applyFont="1" applyBorder="1"/>
    <xf numFmtId="1" fontId="18" fillId="0" borderId="4" xfId="1" applyNumberFormat="1" applyFont="1" applyBorder="1"/>
    <xf numFmtId="167" fontId="13" fillId="2" borderId="11" xfId="1" applyNumberFormat="1" applyFont="1" applyFill="1" applyBorder="1"/>
    <xf numFmtId="167" fontId="14" fillId="0" borderId="11" xfId="1" applyNumberFormat="1" applyFont="1" applyBorder="1"/>
    <xf numFmtId="167" fontId="15" fillId="0" borderId="5" xfId="1" applyNumberFormat="1" applyFont="1" applyBorder="1"/>
    <xf numFmtId="2" fontId="15" fillId="0" borderId="6" xfId="1" applyNumberFormat="1" applyFont="1" applyBorder="1"/>
    <xf numFmtId="167" fontId="13" fillId="2" borderId="0" xfId="1" applyNumberFormat="1" applyFont="1" applyFill="1" applyBorder="1"/>
    <xf numFmtId="167" fontId="14" fillId="0" borderId="0" xfId="1" applyNumberFormat="1" applyFont="1" applyBorder="1"/>
    <xf numFmtId="167" fontId="15" fillId="0" borderId="12" xfId="1" applyNumberFormat="1" applyFont="1" applyBorder="1"/>
    <xf numFmtId="2" fontId="15" fillId="0" borderId="13" xfId="1" applyNumberFormat="1" applyFont="1" applyBorder="1"/>
    <xf numFmtId="9" fontId="6" fillId="0" borderId="9" xfId="1" applyFont="1" applyBorder="1"/>
    <xf numFmtId="9" fontId="6" fillId="0" borderId="10" xfId="1" applyFont="1" applyBorder="1"/>
    <xf numFmtId="3" fontId="5" fillId="0" borderId="0" xfId="0" applyNumberFormat="1" applyFont="1"/>
    <xf numFmtId="9" fontId="6" fillId="0" borderId="0" xfId="1" applyFont="1" applyBorder="1"/>
    <xf numFmtId="3" fontId="12" fillId="2" borderId="0" xfId="0" applyNumberFormat="1" applyFont="1" applyFill="1"/>
    <xf numFmtId="3" fontId="12" fillId="2" borderId="2" xfId="0" applyNumberFormat="1" applyFont="1" applyFill="1" applyBorder="1"/>
    <xf numFmtId="3" fontId="5" fillId="0" borderId="2" xfId="0" applyNumberFormat="1" applyFont="1" applyBorder="1"/>
    <xf numFmtId="3" fontId="12" fillId="2" borderId="1" xfId="0" applyNumberFormat="1" applyFont="1" applyFill="1" applyBorder="1"/>
    <xf numFmtId="3" fontId="5" fillId="0" borderId="1" xfId="0" applyNumberFormat="1" applyFont="1" applyBorder="1"/>
    <xf numFmtId="3" fontId="5" fillId="2" borderId="0" xfId="0" applyNumberFormat="1" applyFont="1" applyFill="1"/>
    <xf numFmtId="0" fontId="11" fillId="2" borderId="0" xfId="0" applyFont="1" applyFill="1"/>
    <xf numFmtId="0" fontId="11" fillId="0" borderId="0" xfId="0" applyFont="1"/>
    <xf numFmtId="3" fontId="11" fillId="0" borderId="0" xfId="0" applyNumberFormat="1" applyFont="1"/>
  </cellXfs>
  <cellStyles count="3">
    <cellStyle name="Prósent" xfId="1" builtinId="5"/>
    <cellStyle name="Tengill" xfId="2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0</xdr:colOff>
      <xdr:row>0</xdr:row>
      <xdr:rowOff>131885</xdr:rowOff>
    </xdr:from>
    <xdr:to>
      <xdr:col>105</xdr:col>
      <xdr:colOff>0</xdr:colOff>
      <xdr:row>49</xdr:row>
      <xdr:rowOff>65653</xdr:rowOff>
    </xdr:to>
    <xdr:cxnSp macro="">
      <xdr:nvCxnSpPr>
        <xdr:cNvPr id="3" name="Straight Connector 4">
          <a:extLst>
            <a:ext uri="{FF2B5EF4-FFF2-40B4-BE49-F238E27FC236}">
              <a16:creationId xmlns:a16="http://schemas.microsoft.com/office/drawing/2014/main" id="{0F984784-53EB-43BD-B03C-AEDA4A9EDD30}"/>
            </a:ext>
          </a:extLst>
        </xdr:cNvPr>
        <xdr:cNvCxnSpPr/>
      </xdr:nvCxnSpPr>
      <xdr:spPr>
        <a:xfrm>
          <a:off x="30538615" y="131885"/>
          <a:ext cx="0" cy="6242249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8283</xdr:colOff>
      <xdr:row>1</xdr:row>
      <xdr:rowOff>8283</xdr:rowOff>
    </xdr:from>
    <xdr:to>
      <xdr:col>56</xdr:col>
      <xdr:colOff>8283</xdr:colOff>
      <xdr:row>49</xdr:row>
      <xdr:rowOff>132551</xdr:rowOff>
    </xdr:to>
    <xdr:cxnSp macro="">
      <xdr:nvCxnSpPr>
        <xdr:cNvPr id="4" name="Straight Connector 4">
          <a:extLst>
            <a:ext uri="{FF2B5EF4-FFF2-40B4-BE49-F238E27FC236}">
              <a16:creationId xmlns:a16="http://schemas.microsoft.com/office/drawing/2014/main" id="{F6A39050-CA0F-4667-8754-A1AE66620945}"/>
            </a:ext>
          </a:extLst>
        </xdr:cNvPr>
        <xdr:cNvCxnSpPr/>
      </xdr:nvCxnSpPr>
      <xdr:spPr>
        <a:xfrm>
          <a:off x="35606935" y="198783"/>
          <a:ext cx="0" cy="6245116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</xdr:row>
      <xdr:rowOff>0</xdr:rowOff>
    </xdr:from>
    <xdr:to>
      <xdr:col>42</xdr:col>
      <xdr:colOff>0</xdr:colOff>
      <xdr:row>49</xdr:row>
      <xdr:rowOff>134965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6A9F756-5881-4567-88B0-A4D96D86DFA0}"/>
            </a:ext>
          </a:extLst>
        </xdr:cNvPr>
        <xdr:cNvCxnSpPr/>
      </xdr:nvCxnSpPr>
      <xdr:spPr>
        <a:xfrm>
          <a:off x="27021692" y="234462"/>
          <a:ext cx="0" cy="6846426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rbert Guðmundsson" id="{436C9932-12E1-4B03-9E3B-77629B3579B8}" userId="c057fd7477d87051" providerId="Windows Live"/>
</personList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8" dT="2024-04-06T01:19:38.63" personId="{436C9932-12E1-4B03-9E3B-77629B3579B8}" id="{978BDA40-B380-4349-B614-66F5C562DB23}">
    <text>Commcercial paper + Current Portion of Long term debt + Long term debt = Allt saman DEBT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4124-796A-4C3C-92DA-FAE15E3F7456}">
  <dimension ref="B1:M13"/>
  <sheetViews>
    <sheetView zoomScale="130" zoomScaleNormal="130" workbookViewId="0">
      <selection activeCell="F14" sqref="F14"/>
    </sheetView>
  </sheetViews>
  <sheetFormatPr defaultRowHeight="13.8" x14ac:dyDescent="0.25"/>
  <cols>
    <col min="1" max="11" width="8.88671875" style="2"/>
    <col min="12" max="12" width="13.33203125" style="2" customWidth="1"/>
    <col min="13" max="16384" width="8.88671875" style="2"/>
  </cols>
  <sheetData>
    <row r="1" spans="2:13" ht="17.399999999999999" x14ac:dyDescent="0.3">
      <c r="B1" s="1" t="s">
        <v>98</v>
      </c>
      <c r="K1" s="3" t="s">
        <v>56</v>
      </c>
      <c r="L1" s="3"/>
    </row>
    <row r="2" spans="2:13" x14ac:dyDescent="0.25">
      <c r="K2" s="4" t="s">
        <v>49</v>
      </c>
      <c r="L2" s="4">
        <v>191.34</v>
      </c>
    </row>
    <row r="3" spans="2:13" x14ac:dyDescent="0.25">
      <c r="K3" s="4" t="s">
        <v>40</v>
      </c>
      <c r="L3" s="5">
        <v>15440</v>
      </c>
      <c r="M3" s="2" t="s">
        <v>86</v>
      </c>
    </row>
    <row r="4" spans="2:13" x14ac:dyDescent="0.25">
      <c r="K4" s="4" t="s">
        <v>50</v>
      </c>
      <c r="L4" s="6">
        <f>L2*L3</f>
        <v>2954289.6</v>
      </c>
    </row>
    <row r="5" spans="2:13" x14ac:dyDescent="0.25">
      <c r="K5" s="4" t="s">
        <v>51</v>
      </c>
      <c r="L5" s="7">
        <v>31540</v>
      </c>
      <c r="M5" s="2" t="s">
        <v>86</v>
      </c>
    </row>
    <row r="6" spans="2:13" x14ac:dyDescent="0.25">
      <c r="K6" s="4" t="s">
        <v>52</v>
      </c>
      <c r="L6" s="7">
        <v>108040</v>
      </c>
      <c r="M6" s="2" t="s">
        <v>86</v>
      </c>
    </row>
    <row r="7" spans="2:13" x14ac:dyDescent="0.25">
      <c r="K7" s="4" t="s">
        <v>53</v>
      </c>
      <c r="L7" s="5">
        <f>L4-L5+L6</f>
        <v>3030789.6</v>
      </c>
    </row>
    <row r="8" spans="2:13" x14ac:dyDescent="0.25">
      <c r="K8" s="4" t="s">
        <v>54</v>
      </c>
      <c r="L8" s="8">
        <f>L5-L6</f>
        <v>-76500</v>
      </c>
    </row>
    <row r="9" spans="2:13" x14ac:dyDescent="0.25">
      <c r="K9" s="4"/>
      <c r="L9" s="4"/>
    </row>
    <row r="10" spans="2:13" x14ac:dyDescent="0.25">
      <c r="K10" s="4"/>
      <c r="L10" s="4"/>
    </row>
    <row r="11" spans="2:13" x14ac:dyDescent="0.25">
      <c r="K11" s="4" t="s">
        <v>55</v>
      </c>
      <c r="L11" s="4" t="s">
        <v>95</v>
      </c>
    </row>
    <row r="13" spans="2:13" x14ac:dyDescent="0.25">
      <c r="K13" s="9" t="s">
        <v>96</v>
      </c>
      <c r="L13" s="9"/>
    </row>
  </sheetData>
  <mergeCells count="1">
    <mergeCell ref="K1:L1"/>
  </mergeCells>
  <hyperlinks>
    <hyperlink ref="B1" location="Model!A1" display="Model" xr:uid="{CF37FE7D-4E62-4B70-92B5-9F924B7B7B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3962-36DE-4C69-9DDD-14C4694DD370}">
  <dimension ref="A1:GN77"/>
  <sheetViews>
    <sheetView tabSelected="1" zoomScale="130" zoomScaleNormal="130" workbookViewId="0">
      <pane xSplit="1" ySplit="2" topLeftCell="BH24" activePane="bottomRight" state="frozen"/>
      <selection pane="topRight" activeCell="C1" sqref="C1"/>
      <selection pane="bottomLeft" activeCell="A3" sqref="A3"/>
      <selection pane="bottomRight" activeCell="BL40" sqref="BL40"/>
    </sheetView>
  </sheetViews>
  <sheetFormatPr defaultRowHeight="13.8" x14ac:dyDescent="0.25"/>
  <cols>
    <col min="1" max="1" width="30.88671875" style="11" customWidth="1"/>
    <col min="2" max="5" width="9.109375" style="2" customWidth="1"/>
    <col min="6" max="6" width="8.33203125" style="2" customWidth="1"/>
    <col min="7" max="20" width="9.109375" style="2" customWidth="1"/>
    <col min="21" max="21" width="9.33203125" style="2" customWidth="1"/>
    <col min="22" max="36" width="9" style="2" bestFit="1" customWidth="1"/>
    <col min="37" max="37" width="10.6640625" style="2" bestFit="1" customWidth="1"/>
    <col min="38" max="41" width="9" style="2" bestFit="1" customWidth="1"/>
    <col min="42" max="42" width="10.77734375" style="2" bestFit="1" customWidth="1"/>
    <col min="43" max="45" width="9" style="2" bestFit="1" customWidth="1"/>
    <col min="46" max="46" width="8.88671875" style="2"/>
    <col min="47" max="68" width="9" style="2" bestFit="1" customWidth="1"/>
    <col min="69" max="69" width="29.5546875" style="2" bestFit="1" customWidth="1"/>
    <col min="70" max="70" width="13.5546875" style="2" bestFit="1" customWidth="1"/>
    <col min="71" max="196" width="9" style="2" bestFit="1" customWidth="1"/>
    <col min="197" max="16384" width="8.88671875" style="2"/>
  </cols>
  <sheetData>
    <row r="1" spans="1:67" s="11" customFormat="1" ht="17.399999999999999" x14ac:dyDescent="0.3">
      <c r="A1" s="10" t="s">
        <v>97</v>
      </c>
    </row>
    <row r="2" spans="1:67" s="13" customFormat="1" ht="15.6" x14ac:dyDescent="0.3">
      <c r="A2" s="12" t="s">
        <v>0</v>
      </c>
      <c r="B2" s="13" t="s">
        <v>85</v>
      </c>
      <c r="C2" s="13" t="s">
        <v>84</v>
      </c>
      <c r="D2" s="13" t="s">
        <v>83</v>
      </c>
      <c r="E2" s="13" t="s">
        <v>75</v>
      </c>
      <c r="F2" s="13" t="s">
        <v>74</v>
      </c>
      <c r="G2" s="13" t="s">
        <v>73</v>
      </c>
      <c r="H2" s="13" t="s">
        <v>72</v>
      </c>
      <c r="I2" s="13" t="s">
        <v>71</v>
      </c>
      <c r="J2" s="13" t="s">
        <v>70</v>
      </c>
      <c r="K2" s="13" t="s">
        <v>69</v>
      </c>
      <c r="L2" s="13" t="s">
        <v>68</v>
      </c>
      <c r="M2" s="13" t="s">
        <v>67</v>
      </c>
      <c r="N2" s="13" t="s">
        <v>66</v>
      </c>
      <c r="O2" s="13" t="s">
        <v>48</v>
      </c>
      <c r="P2" s="13" t="s">
        <v>47</v>
      </c>
      <c r="Q2" s="13" t="s">
        <v>46</v>
      </c>
      <c r="R2" s="13" t="s">
        <v>45</v>
      </c>
      <c r="S2" s="13" t="s">
        <v>44</v>
      </c>
      <c r="T2" s="13" t="s">
        <v>43</v>
      </c>
      <c r="U2" s="13" t="s">
        <v>21</v>
      </c>
      <c r="V2" s="13" t="s">
        <v>20</v>
      </c>
      <c r="W2" s="13" t="s">
        <v>19</v>
      </c>
      <c r="X2" s="13" t="s">
        <v>18</v>
      </c>
      <c r="Y2" s="13" t="s">
        <v>17</v>
      </c>
      <c r="Z2" s="13" t="s">
        <v>16</v>
      </c>
      <c r="AA2" s="13" t="s">
        <v>15</v>
      </c>
      <c r="AB2" s="13" t="s">
        <v>14</v>
      </c>
      <c r="AC2" s="13" t="s">
        <v>13</v>
      </c>
      <c r="AD2" s="13" t="s">
        <v>12</v>
      </c>
      <c r="AE2" s="13" t="s">
        <v>11</v>
      </c>
      <c r="AF2" s="13" t="s">
        <v>10</v>
      </c>
      <c r="AG2" s="13" t="s">
        <v>6</v>
      </c>
      <c r="AH2" s="13" t="s">
        <v>5</v>
      </c>
      <c r="AI2" s="13" t="s">
        <v>4</v>
      </c>
      <c r="AJ2" s="13" t="s">
        <v>3</v>
      </c>
      <c r="AK2" s="13" t="s">
        <v>2</v>
      </c>
      <c r="AL2" s="13" t="s">
        <v>1</v>
      </c>
      <c r="AM2" s="13" t="s">
        <v>7</v>
      </c>
      <c r="AN2" s="13" t="s">
        <v>8</v>
      </c>
      <c r="AO2" s="13" t="s">
        <v>9</v>
      </c>
      <c r="AP2" s="13" t="s">
        <v>86</v>
      </c>
      <c r="AQ2" s="13" t="s">
        <v>87</v>
      </c>
      <c r="AR2" s="13" t="s">
        <v>88</v>
      </c>
      <c r="AS2" s="13" t="s">
        <v>88</v>
      </c>
      <c r="AU2" s="13">
        <v>2014</v>
      </c>
      <c r="AV2" s="13">
        <v>2015</v>
      </c>
      <c r="AW2" s="13">
        <v>2016</v>
      </c>
      <c r="AX2" s="13">
        <v>2017</v>
      </c>
      <c r="AY2" s="13">
        <v>2018</v>
      </c>
      <c r="AZ2" s="13">
        <v>2019</v>
      </c>
      <c r="BA2" s="13">
        <v>2020</v>
      </c>
      <c r="BB2" s="13">
        <v>2021</v>
      </c>
      <c r="BC2" s="13">
        <v>2022</v>
      </c>
      <c r="BD2" s="13">
        <v>2023</v>
      </c>
      <c r="BE2" s="13">
        <v>2024</v>
      </c>
      <c r="BF2" s="13">
        <v>2025</v>
      </c>
      <c r="BG2" s="13">
        <v>2026</v>
      </c>
      <c r="BH2" s="13">
        <v>2027</v>
      </c>
      <c r="BI2" s="13">
        <v>2028</v>
      </c>
      <c r="BJ2" s="13">
        <v>2029</v>
      </c>
      <c r="BK2" s="13">
        <v>2030</v>
      </c>
      <c r="BL2" s="13">
        <v>2031</v>
      </c>
      <c r="BM2" s="13">
        <v>2032</v>
      </c>
      <c r="BN2" s="13">
        <v>2033</v>
      </c>
      <c r="BO2" s="13">
        <v>2034</v>
      </c>
    </row>
    <row r="3" spans="1:67" s="15" customFormat="1" ht="15.6" x14ac:dyDescent="0.3">
      <c r="A3" s="14" t="s">
        <v>99</v>
      </c>
      <c r="AK3" s="15">
        <v>65775</v>
      </c>
      <c r="AL3" s="15">
        <v>51334</v>
      </c>
      <c r="AO3" s="15">
        <v>69702</v>
      </c>
      <c r="AP3" s="15">
        <v>45963</v>
      </c>
    </row>
    <row r="4" spans="1:67" s="17" customFormat="1" ht="15.6" x14ac:dyDescent="0.3">
      <c r="A4" s="16" t="s">
        <v>104</v>
      </c>
      <c r="AO4" s="18">
        <f>AO3/AK3-1</f>
        <v>5.9703534777651113E-2</v>
      </c>
      <c r="AP4" s="18">
        <f>AP3/AL3-1</f>
        <v>-0.10462851131803486</v>
      </c>
    </row>
    <row r="5" spans="1:67" s="15" customFormat="1" ht="15.6" x14ac:dyDescent="0.3">
      <c r="A5" s="14" t="s">
        <v>100</v>
      </c>
      <c r="AK5" s="15">
        <v>7735</v>
      </c>
      <c r="AL5" s="15">
        <v>7168</v>
      </c>
      <c r="AO5" s="15">
        <v>7780</v>
      </c>
      <c r="AP5" s="15">
        <v>7451</v>
      </c>
    </row>
    <row r="6" spans="1:67" s="20" customFormat="1" ht="15.6" x14ac:dyDescent="0.3">
      <c r="A6" s="19" t="s">
        <v>104</v>
      </c>
      <c r="AO6" s="18">
        <f>AO5/AK5-1</f>
        <v>5.8177117000646206E-3</v>
      </c>
      <c r="AP6" s="18">
        <f>AP5/AL5-1</f>
        <v>3.9481026785714191E-2</v>
      </c>
    </row>
    <row r="7" spans="1:67" s="15" customFormat="1" ht="15.6" x14ac:dyDescent="0.3">
      <c r="A7" s="14" t="s">
        <v>101</v>
      </c>
      <c r="AK7" s="15">
        <v>9396</v>
      </c>
      <c r="AL7" s="15">
        <v>6670</v>
      </c>
      <c r="AO7" s="15">
        <v>7023</v>
      </c>
      <c r="AP7" s="15">
        <v>5559</v>
      </c>
    </row>
    <row r="8" spans="1:67" s="20" customFormat="1" ht="15.6" x14ac:dyDescent="0.3">
      <c r="A8" s="19" t="s">
        <v>104</v>
      </c>
      <c r="AO8" s="18">
        <f>AO7/AK7-1</f>
        <v>-0.25255427841634737</v>
      </c>
      <c r="AP8" s="18">
        <f>AP7/AL7-1</f>
        <v>-0.16656671664167921</v>
      </c>
    </row>
    <row r="9" spans="1:67" s="15" customFormat="1" ht="15.6" x14ac:dyDescent="0.3">
      <c r="A9" s="14" t="s">
        <v>102</v>
      </c>
      <c r="AK9" s="15">
        <v>13482</v>
      </c>
      <c r="AL9" s="15">
        <v>8757</v>
      </c>
      <c r="AO9" s="15">
        <v>11953</v>
      </c>
      <c r="AP9" s="15">
        <v>7913</v>
      </c>
    </row>
    <row r="10" spans="1:67" s="20" customFormat="1" ht="15.6" x14ac:dyDescent="0.3">
      <c r="A10" s="19" t="s">
        <v>104</v>
      </c>
      <c r="AO10" s="18">
        <f>AO9/AK9-1</f>
        <v>-0.11341047322355735</v>
      </c>
      <c r="AP10" s="18">
        <f>AP9/AL9-1</f>
        <v>-9.6380038826082037E-2</v>
      </c>
    </row>
    <row r="11" spans="1:67" s="15" customFormat="1" ht="15.6" x14ac:dyDescent="0.3">
      <c r="A11" s="14" t="s">
        <v>103</v>
      </c>
      <c r="AK11" s="15">
        <v>20766</v>
      </c>
      <c r="AL11" s="15">
        <v>20907</v>
      </c>
      <c r="AO11" s="15">
        <v>23117</v>
      </c>
      <c r="AP11" s="15">
        <v>23867</v>
      </c>
    </row>
    <row r="12" spans="1:67" s="20" customFormat="1" ht="15.6" x14ac:dyDescent="0.3">
      <c r="A12" s="19" t="s">
        <v>104</v>
      </c>
      <c r="AO12" s="21">
        <f>AO11/AK11-1</f>
        <v>0.11321390734855052</v>
      </c>
      <c r="AP12" s="21">
        <f>AP11/AL11-1</f>
        <v>0.14157937532883724</v>
      </c>
    </row>
    <row r="13" spans="1:67" s="17" customFormat="1" ht="15.6" x14ac:dyDescent="0.3">
      <c r="A13" s="16" t="s">
        <v>105</v>
      </c>
      <c r="AO13" s="18">
        <f>AVERAGE(AO12,AO10,AO8,AO6,AO4)</f>
        <v>-3.7445919562727692E-2</v>
      </c>
      <c r="AP13" s="18">
        <f>AVERAGE(AP12,AP10,AP8,AP6,AP4)</f>
        <v>-3.7302972934248932E-2</v>
      </c>
    </row>
    <row r="14" spans="1:67" s="13" customFormat="1" ht="15.6" x14ac:dyDescent="0.3">
      <c r="A14" s="12"/>
    </row>
    <row r="15" spans="1:67" s="23" customFormat="1" ht="15.6" x14ac:dyDescent="0.3">
      <c r="A15" s="22" t="s">
        <v>22</v>
      </c>
      <c r="B15" s="23">
        <v>57594</v>
      </c>
      <c r="C15" s="23">
        <v>45646</v>
      </c>
      <c r="D15" s="23">
        <v>37432</v>
      </c>
      <c r="E15" s="23">
        <v>42123</v>
      </c>
      <c r="F15" s="23">
        <v>74599</v>
      </c>
      <c r="G15" s="23">
        <v>58010</v>
      </c>
      <c r="H15" s="23">
        <v>49605</v>
      </c>
      <c r="I15" s="23">
        <v>75872</v>
      </c>
      <c r="J15" s="23">
        <v>50557</v>
      </c>
      <c r="K15" s="23">
        <v>42358</v>
      </c>
      <c r="L15" s="23">
        <f>215639-K15-J15-I15</f>
        <v>46852</v>
      </c>
      <c r="M15" s="23">
        <v>78351</v>
      </c>
      <c r="N15" s="23">
        <v>52896</v>
      </c>
      <c r="O15" s="23">
        <v>42358</v>
      </c>
      <c r="P15" s="23">
        <f>229234-M15-N15-O15</f>
        <v>55629</v>
      </c>
      <c r="Q15" s="23">
        <v>88293</v>
      </c>
      <c r="R15" s="23">
        <v>61137</v>
      </c>
      <c r="S15" s="23">
        <v>53265</v>
      </c>
      <c r="T15" s="23">
        <f>265595-Q15-R15-S15</f>
        <v>62900</v>
      </c>
      <c r="U15" s="23">
        <v>84310</v>
      </c>
      <c r="V15" s="23">
        <v>58015</v>
      </c>
      <c r="W15" s="23">
        <v>53809</v>
      </c>
      <c r="X15" s="23">
        <f>260174-U15-V15-W15</f>
        <v>64040</v>
      </c>
      <c r="Y15" s="23">
        <v>91819</v>
      </c>
      <c r="Z15" s="23">
        <v>58313</v>
      </c>
      <c r="AA15" s="23">
        <v>59685</v>
      </c>
      <c r="AB15" s="23">
        <f>274515-Y15-Z15-AA15</f>
        <v>64698</v>
      </c>
      <c r="AC15" s="23">
        <v>111439</v>
      </c>
      <c r="AD15" s="23">
        <v>89584</v>
      </c>
      <c r="AE15" s="23">
        <v>81434</v>
      </c>
      <c r="AF15" s="23">
        <f>365817-AC15-AD15-AE15</f>
        <v>83360</v>
      </c>
      <c r="AG15" s="23">
        <v>123945</v>
      </c>
      <c r="AH15" s="23">
        <v>97278</v>
      </c>
      <c r="AI15" s="23">
        <v>82959</v>
      </c>
      <c r="AJ15" s="23">
        <f>394328-AG15-AH15-AI15</f>
        <v>90146</v>
      </c>
      <c r="AK15" s="23">
        <v>117154</v>
      </c>
      <c r="AL15" s="23">
        <v>94836</v>
      </c>
      <c r="AM15" s="23">
        <v>81797</v>
      </c>
      <c r="AN15" s="23">
        <f>383285-AK15-AL15-AM15</f>
        <v>89498</v>
      </c>
      <c r="AO15" s="23">
        <v>119575</v>
      </c>
      <c r="AP15" s="23">
        <v>90753</v>
      </c>
      <c r="AQ15" s="23">
        <f>AM15*1.031</f>
        <v>84332.706999999995</v>
      </c>
      <c r="AR15" s="23">
        <f>AN15*1.026</f>
        <v>91824.948000000004</v>
      </c>
      <c r="AS15" s="23">
        <f>AO15*0.96</f>
        <v>114792</v>
      </c>
      <c r="AU15" s="23">
        <v>182795</v>
      </c>
      <c r="AV15" s="23">
        <v>233715</v>
      </c>
      <c r="AW15" s="23">
        <v>215639</v>
      </c>
      <c r="AX15" s="23">
        <v>229234</v>
      </c>
      <c r="AY15" s="23">
        <v>265595</v>
      </c>
      <c r="AZ15" s="23">
        <v>260174</v>
      </c>
      <c r="BA15" s="23">
        <v>274515</v>
      </c>
      <c r="BB15" s="23">
        <v>365817</v>
      </c>
      <c r="BC15" s="23">
        <v>394328</v>
      </c>
      <c r="BD15" s="23">
        <v>383285</v>
      </c>
      <c r="BE15" s="23">
        <f>SUM(AO15:AR15)</f>
        <v>386485.65500000003</v>
      </c>
      <c r="BF15" s="23">
        <f>BE15*1.03</f>
        <v>398080.22465000005</v>
      </c>
      <c r="BG15" s="23">
        <f t="shared" ref="BG15:BO15" si="0">BF15*1.03</f>
        <v>410022.63138950005</v>
      </c>
      <c r="BH15" s="23">
        <f t="shared" si="0"/>
        <v>422323.31033118506</v>
      </c>
      <c r="BI15" s="23">
        <f t="shared" si="0"/>
        <v>434993.00964112062</v>
      </c>
      <c r="BJ15" s="23">
        <f t="shared" si="0"/>
        <v>448042.79993035423</v>
      </c>
      <c r="BK15" s="23">
        <f t="shared" si="0"/>
        <v>461484.08392826485</v>
      </c>
      <c r="BL15" s="23">
        <f t="shared" si="0"/>
        <v>475328.6064461128</v>
      </c>
      <c r="BM15" s="23">
        <f t="shared" si="0"/>
        <v>489588.46463949617</v>
      </c>
      <c r="BN15" s="23">
        <f t="shared" si="0"/>
        <v>504276.11857868108</v>
      </c>
      <c r="BO15" s="23">
        <f t="shared" si="0"/>
        <v>519404.40213604155</v>
      </c>
    </row>
    <row r="16" spans="1:67" s="25" customFormat="1" ht="15" x14ac:dyDescent="0.25">
      <c r="A16" s="24" t="s">
        <v>23</v>
      </c>
      <c r="B16" s="25">
        <v>35748</v>
      </c>
      <c r="C16" s="25">
        <v>27699</v>
      </c>
      <c r="D16" s="25">
        <v>22697</v>
      </c>
      <c r="E16" s="25">
        <v>26114</v>
      </c>
      <c r="F16" s="25">
        <v>44858</v>
      </c>
      <c r="G16" s="25">
        <v>34354</v>
      </c>
      <c r="H16" s="25">
        <v>29924</v>
      </c>
      <c r="I16" s="25">
        <v>45449</v>
      </c>
      <c r="J16" s="25">
        <v>30636</v>
      </c>
      <c r="K16" s="25">
        <v>26252</v>
      </c>
      <c r="L16" s="25">
        <f>131376-I16-J16-K16</f>
        <v>29039</v>
      </c>
      <c r="M16" s="25">
        <v>48175</v>
      </c>
      <c r="N16" s="25">
        <v>32305</v>
      </c>
      <c r="O16" s="25">
        <v>26252</v>
      </c>
      <c r="P16" s="25">
        <f>141048-M16-N16-O16</f>
        <v>34316</v>
      </c>
      <c r="Q16" s="25">
        <v>54381</v>
      </c>
      <c r="R16" s="25">
        <v>37715</v>
      </c>
      <c r="S16" s="25">
        <v>32844</v>
      </c>
      <c r="T16" s="25">
        <f>163756-Q16-R16-S16</f>
        <v>38816</v>
      </c>
      <c r="U16" s="25">
        <v>52279</v>
      </c>
      <c r="V16" s="25">
        <v>36194</v>
      </c>
      <c r="W16" s="25">
        <v>33582</v>
      </c>
      <c r="X16" s="25">
        <f>161752-U16-V16-W16</f>
        <v>39697</v>
      </c>
      <c r="Y16" s="25">
        <v>56602</v>
      </c>
      <c r="Z16" s="25">
        <v>35943</v>
      </c>
      <c r="AA16" s="25">
        <v>37005</v>
      </c>
      <c r="AB16" s="25">
        <f>169559-Y16-Z16-AA16</f>
        <v>40009</v>
      </c>
      <c r="AC16" s="25">
        <v>67111</v>
      </c>
      <c r="AD16" s="25">
        <v>51505</v>
      </c>
      <c r="AE16" s="25">
        <v>46179</v>
      </c>
      <c r="AF16" s="25">
        <f>212981-AC16-AD16-AE16</f>
        <v>48186</v>
      </c>
      <c r="AG16" s="25">
        <v>69702</v>
      </c>
      <c r="AH16" s="25">
        <v>54719</v>
      </c>
      <c r="AI16" s="25">
        <v>47074</v>
      </c>
      <c r="AJ16" s="25">
        <f>223546-AG16-AH16-AI16</f>
        <v>52051</v>
      </c>
      <c r="AK16" s="25">
        <v>66822</v>
      </c>
      <c r="AL16" s="25">
        <v>52860</v>
      </c>
      <c r="AM16" s="25">
        <v>45384</v>
      </c>
      <c r="AN16" s="25">
        <f>214137-AK16-AL16-AM16</f>
        <v>49071</v>
      </c>
      <c r="AO16" s="25">
        <v>64720</v>
      </c>
      <c r="AP16" s="25">
        <v>48482</v>
      </c>
      <c r="AQ16" s="25">
        <f t="shared" ref="AQ16:AS16" si="1">AQ15-AQ17</f>
        <v>48069.64299</v>
      </c>
      <c r="AR16" s="25">
        <f t="shared" si="1"/>
        <v>49585.471920000004</v>
      </c>
      <c r="AS16" s="25">
        <f t="shared" si="1"/>
        <v>65431.44</v>
      </c>
      <c r="AU16" s="25">
        <v>112258</v>
      </c>
      <c r="AV16" s="25">
        <v>140089</v>
      </c>
      <c r="AW16" s="25">
        <v>131376</v>
      </c>
      <c r="AX16" s="25">
        <v>141048</v>
      </c>
      <c r="AY16" s="25">
        <v>141048</v>
      </c>
      <c r="AZ16" s="25">
        <v>161752</v>
      </c>
      <c r="BA16" s="25">
        <v>169559</v>
      </c>
      <c r="BB16" s="25">
        <v>212981</v>
      </c>
      <c r="BC16" s="25">
        <v>223546</v>
      </c>
      <c r="BD16" s="25">
        <v>214137</v>
      </c>
      <c r="BE16" s="25">
        <f>SUM(AO16:AR16)</f>
        <v>210857.11491</v>
      </c>
      <c r="BF16" s="25">
        <f>BE16*1.03</f>
        <v>217182.82835730002</v>
      </c>
      <c r="BG16" s="25">
        <f t="shared" ref="BG16:BO19" si="2">BF16*1.02</f>
        <v>221526.48492444603</v>
      </c>
      <c r="BH16" s="25">
        <f t="shared" si="2"/>
        <v>225957.01462293495</v>
      </c>
      <c r="BI16" s="25">
        <f t="shared" si="2"/>
        <v>230476.15491539365</v>
      </c>
      <c r="BJ16" s="25">
        <f t="shared" si="2"/>
        <v>235085.67801370152</v>
      </c>
      <c r="BK16" s="25">
        <f t="shared" si="2"/>
        <v>239787.39157397556</v>
      </c>
      <c r="BL16" s="25">
        <f t="shared" si="2"/>
        <v>244583.13940545509</v>
      </c>
      <c r="BM16" s="25">
        <f t="shared" si="2"/>
        <v>249474.80219356419</v>
      </c>
      <c r="BN16" s="25">
        <f t="shared" si="2"/>
        <v>254464.29823743549</v>
      </c>
      <c r="BO16" s="25">
        <f t="shared" si="2"/>
        <v>259553.5842021842</v>
      </c>
    </row>
    <row r="17" spans="1:196" s="26" customFormat="1" ht="15.6" x14ac:dyDescent="0.3">
      <c r="A17" s="22" t="s">
        <v>24</v>
      </c>
      <c r="B17" s="26">
        <f t="shared" ref="B17" si="3">B15-B16</f>
        <v>21846</v>
      </c>
      <c r="C17" s="26">
        <f t="shared" ref="C17:D17" si="4">C15-C16</f>
        <v>17947</v>
      </c>
      <c r="D17" s="26">
        <f t="shared" si="4"/>
        <v>14735</v>
      </c>
      <c r="E17" s="26">
        <f t="shared" ref="E17:F17" si="5">E15-E16</f>
        <v>16009</v>
      </c>
      <c r="F17" s="26">
        <f t="shared" si="5"/>
        <v>29741</v>
      </c>
      <c r="G17" s="26">
        <f t="shared" ref="G17:H17" si="6">G15-G16</f>
        <v>23656</v>
      </c>
      <c r="H17" s="26">
        <f t="shared" si="6"/>
        <v>19681</v>
      </c>
      <c r="I17" s="26">
        <f t="shared" ref="I17:O17" si="7">I15-I16</f>
        <v>30423</v>
      </c>
      <c r="J17" s="26">
        <f t="shared" si="7"/>
        <v>19921</v>
      </c>
      <c r="K17" s="26">
        <f t="shared" si="7"/>
        <v>16106</v>
      </c>
      <c r="L17" s="26">
        <f>L15-L16</f>
        <v>17813</v>
      </c>
      <c r="M17" s="26">
        <f t="shared" si="7"/>
        <v>30176</v>
      </c>
      <c r="N17" s="26">
        <f t="shared" si="7"/>
        <v>20591</v>
      </c>
      <c r="O17" s="26">
        <f t="shared" si="7"/>
        <v>16106</v>
      </c>
      <c r="P17" s="26">
        <f t="shared" ref="P17:AB17" si="8">P15-P16</f>
        <v>21313</v>
      </c>
      <c r="Q17" s="26">
        <f t="shared" si="8"/>
        <v>33912</v>
      </c>
      <c r="R17" s="26">
        <f t="shared" si="8"/>
        <v>23422</v>
      </c>
      <c r="S17" s="26">
        <f t="shared" si="8"/>
        <v>20421</v>
      </c>
      <c r="T17" s="26">
        <f>T15-T16</f>
        <v>24084</v>
      </c>
      <c r="U17" s="26">
        <f t="shared" si="8"/>
        <v>32031</v>
      </c>
      <c r="V17" s="26">
        <f t="shared" si="8"/>
        <v>21821</v>
      </c>
      <c r="W17" s="26">
        <f t="shared" si="8"/>
        <v>20227</v>
      </c>
      <c r="X17" s="26">
        <f t="shared" si="8"/>
        <v>24343</v>
      </c>
      <c r="Y17" s="26">
        <f t="shared" si="8"/>
        <v>35217</v>
      </c>
      <c r="Z17" s="26">
        <f t="shared" si="8"/>
        <v>22370</v>
      </c>
      <c r="AA17" s="26">
        <f t="shared" si="8"/>
        <v>22680</v>
      </c>
      <c r="AB17" s="26">
        <f t="shared" si="8"/>
        <v>24689</v>
      </c>
      <c r="AC17" s="26">
        <f t="shared" ref="AC17:AP17" si="9">AC15-AC16</f>
        <v>44328</v>
      </c>
      <c r="AD17" s="26">
        <f t="shared" si="9"/>
        <v>38079</v>
      </c>
      <c r="AE17" s="26">
        <f t="shared" si="9"/>
        <v>35255</v>
      </c>
      <c r="AF17" s="26">
        <f t="shared" si="9"/>
        <v>35174</v>
      </c>
      <c r="AG17" s="26">
        <f t="shared" si="9"/>
        <v>54243</v>
      </c>
      <c r="AH17" s="26">
        <f t="shared" si="9"/>
        <v>42559</v>
      </c>
      <c r="AI17" s="26">
        <f t="shared" si="9"/>
        <v>35885</v>
      </c>
      <c r="AJ17" s="26">
        <f>AJ15-AJ16</f>
        <v>38095</v>
      </c>
      <c r="AK17" s="26">
        <f t="shared" si="9"/>
        <v>50332</v>
      </c>
      <c r="AL17" s="26">
        <f t="shared" si="9"/>
        <v>41976</v>
      </c>
      <c r="AM17" s="26">
        <f t="shared" si="9"/>
        <v>36413</v>
      </c>
      <c r="AN17" s="26">
        <f t="shared" si="9"/>
        <v>40427</v>
      </c>
      <c r="AO17" s="26">
        <f t="shared" si="9"/>
        <v>54855</v>
      </c>
      <c r="AP17" s="26">
        <f t="shared" si="9"/>
        <v>42271</v>
      </c>
      <c r="AQ17" s="26">
        <f>AQ15*0.43</f>
        <v>36263.064009999995</v>
      </c>
      <c r="AR17" s="26">
        <f>AR15*0.46</f>
        <v>42239.47608</v>
      </c>
      <c r="AS17" s="26">
        <f>AS15*0.43</f>
        <v>49360.56</v>
      </c>
      <c r="AU17" s="26">
        <f t="shared" ref="AU17:AY17" si="10">AU15-AU16</f>
        <v>70537</v>
      </c>
      <c r="AV17" s="26">
        <f t="shared" si="10"/>
        <v>93626</v>
      </c>
      <c r="AW17" s="26">
        <f t="shared" si="10"/>
        <v>84263</v>
      </c>
      <c r="AX17" s="26">
        <f t="shared" si="10"/>
        <v>88186</v>
      </c>
      <c r="AY17" s="26">
        <f t="shared" si="10"/>
        <v>124547</v>
      </c>
      <c r="AZ17" s="26">
        <f t="shared" ref="AZ17" si="11">AZ15-AZ16</f>
        <v>98422</v>
      </c>
      <c r="BA17" s="26">
        <f t="shared" ref="BA17" si="12">BA15-BA16</f>
        <v>104956</v>
      </c>
      <c r="BB17" s="26">
        <f t="shared" ref="BB17" si="13">BB15-BB16</f>
        <v>152836</v>
      </c>
      <c r="BC17" s="26">
        <f t="shared" ref="BC17" si="14">BC15-BC16</f>
        <v>170782</v>
      </c>
      <c r="BD17" s="26">
        <f t="shared" ref="BD17" si="15">BD15-BD16</f>
        <v>169148</v>
      </c>
      <c r="BE17" s="26">
        <f t="shared" ref="BE17" si="16">BE15-BE16</f>
        <v>175628.54009000002</v>
      </c>
      <c r="BF17" s="26">
        <f t="shared" ref="BF17" si="17">BF15-BF16</f>
        <v>180897.39629270002</v>
      </c>
      <c r="BG17" s="26">
        <f t="shared" ref="BG17" si="18">BG15-BG16</f>
        <v>188496.14646505401</v>
      </c>
      <c r="BH17" s="26">
        <f t="shared" ref="BH17" si="19">BH15-BH16</f>
        <v>196366.29570825011</v>
      </c>
      <c r="BI17" s="26">
        <f t="shared" ref="BI17" si="20">BI15-BI16</f>
        <v>204516.85472572697</v>
      </c>
      <c r="BJ17" s="26">
        <f t="shared" ref="BJ17" si="21">BJ15-BJ16</f>
        <v>212957.12191665272</v>
      </c>
      <c r="BK17" s="26">
        <f t="shared" ref="BK17" si="22">BK15-BK16</f>
        <v>221696.69235428929</v>
      </c>
      <c r="BL17" s="26">
        <f t="shared" ref="BL17" si="23">BL15-BL16</f>
        <v>230745.46704065771</v>
      </c>
      <c r="BM17" s="26">
        <f t="shared" ref="BM17" si="24">BM15-BM16</f>
        <v>240113.66244593199</v>
      </c>
      <c r="BN17" s="26">
        <f t="shared" ref="BN17" si="25">BN15-BN16</f>
        <v>249811.82034124559</v>
      </c>
      <c r="BO17" s="26">
        <f t="shared" ref="BO17" si="26">BO15-BO16</f>
        <v>259850.81793385735</v>
      </c>
    </row>
    <row r="18" spans="1:196" s="25" customFormat="1" ht="15" x14ac:dyDescent="0.25">
      <c r="A18" s="24" t="s">
        <v>25</v>
      </c>
      <c r="B18" s="25">
        <v>1330</v>
      </c>
      <c r="C18" s="25">
        <v>1422</v>
      </c>
      <c r="D18" s="25">
        <v>1603</v>
      </c>
      <c r="E18" s="25">
        <v>1686</v>
      </c>
      <c r="F18" s="25">
        <v>1895</v>
      </c>
      <c r="G18" s="25">
        <v>1918</v>
      </c>
      <c r="H18" s="25">
        <v>2034</v>
      </c>
      <c r="I18" s="25">
        <v>2404</v>
      </c>
      <c r="J18" s="25">
        <v>2511</v>
      </c>
      <c r="K18" s="25">
        <v>2560</v>
      </c>
      <c r="L18" s="25">
        <f>10045-K18-J18-I18</f>
        <v>2570</v>
      </c>
      <c r="M18" s="25">
        <v>2871</v>
      </c>
      <c r="N18" s="25">
        <v>2776</v>
      </c>
      <c r="O18" s="25">
        <v>2560</v>
      </c>
      <c r="P18" s="25">
        <f>11581-O18-N18-M18</f>
        <v>3374</v>
      </c>
      <c r="Q18" s="25">
        <v>3407</v>
      </c>
      <c r="R18" s="25">
        <v>3378</v>
      </c>
      <c r="S18" s="25">
        <v>3701</v>
      </c>
      <c r="T18" s="25">
        <f>11581-S18-R18-Q18</f>
        <v>1095</v>
      </c>
      <c r="U18" s="25">
        <v>3902</v>
      </c>
      <c r="V18" s="25">
        <v>3948</v>
      </c>
      <c r="W18" s="25">
        <v>4257</v>
      </c>
      <c r="X18" s="25">
        <f>16217-U18-V18-W18</f>
        <v>4110</v>
      </c>
      <c r="Y18" s="25">
        <v>4451</v>
      </c>
      <c r="Z18" s="25">
        <v>4565</v>
      </c>
      <c r="AA18" s="25">
        <v>4758</v>
      </c>
      <c r="AB18" s="25">
        <f>18752-Y18-Z18-AA18</f>
        <v>4978</v>
      </c>
      <c r="AC18" s="25">
        <v>5163</v>
      </c>
      <c r="AD18" s="25">
        <v>5262</v>
      </c>
      <c r="AE18" s="25">
        <v>5717</v>
      </c>
      <c r="AF18" s="25">
        <f>21914-AC18-AD18-AE18</f>
        <v>5772</v>
      </c>
      <c r="AG18" s="25">
        <v>6306</v>
      </c>
      <c r="AH18" s="25">
        <v>6387</v>
      </c>
      <c r="AI18" s="25">
        <v>6797</v>
      </c>
      <c r="AJ18" s="25">
        <v>26251</v>
      </c>
      <c r="AK18" s="25">
        <v>7709</v>
      </c>
      <c r="AL18" s="25">
        <v>7457</v>
      </c>
      <c r="AM18" s="25">
        <v>7442</v>
      </c>
      <c r="AN18" s="25">
        <f>29915-AM18-AL18-AK18</f>
        <v>7307</v>
      </c>
      <c r="AO18" s="25">
        <v>7696</v>
      </c>
      <c r="AP18" s="25">
        <v>7903</v>
      </c>
      <c r="AQ18" s="25">
        <v>7442</v>
      </c>
      <c r="AR18" s="25">
        <f>29915-AQ18-AP18-AO18</f>
        <v>6874</v>
      </c>
      <c r="AS18" s="25">
        <v>7696</v>
      </c>
      <c r="AU18" s="25">
        <v>6041</v>
      </c>
      <c r="AV18" s="25">
        <v>8067</v>
      </c>
      <c r="AW18" s="25">
        <v>10045</v>
      </c>
      <c r="AX18" s="25">
        <v>11581</v>
      </c>
      <c r="AY18" s="25">
        <v>11581</v>
      </c>
      <c r="AZ18" s="25">
        <v>16217</v>
      </c>
      <c r="BA18" s="25">
        <v>18752</v>
      </c>
      <c r="BB18" s="25">
        <v>21914</v>
      </c>
      <c r="BC18" s="25">
        <v>26251</v>
      </c>
      <c r="BD18" s="25">
        <v>29915</v>
      </c>
      <c r="BE18" s="25">
        <f t="shared" ref="BE18:BE19" si="27">SUM(AO18:AR18)</f>
        <v>29915</v>
      </c>
      <c r="BF18" s="25">
        <f>BE18*1.03</f>
        <v>30812.45</v>
      </c>
      <c r="BG18" s="25">
        <f t="shared" si="2"/>
        <v>31428.699000000001</v>
      </c>
      <c r="BH18" s="25">
        <f t="shared" si="2"/>
        <v>32057.272980000002</v>
      </c>
      <c r="BI18" s="25">
        <f t="shared" si="2"/>
        <v>32698.418439600002</v>
      </c>
      <c r="BJ18" s="25">
        <f t="shared" si="2"/>
        <v>33352.386808392002</v>
      </c>
      <c r="BK18" s="25">
        <f t="shared" si="2"/>
        <v>34019.434544559845</v>
      </c>
      <c r="BL18" s="25">
        <f t="shared" si="2"/>
        <v>34699.82323545104</v>
      </c>
      <c r="BM18" s="25">
        <f t="shared" si="2"/>
        <v>35393.819700160064</v>
      </c>
      <c r="BN18" s="25">
        <f t="shared" si="2"/>
        <v>36101.696094163264</v>
      </c>
      <c r="BO18" s="25">
        <f t="shared" si="2"/>
        <v>36823.730016046531</v>
      </c>
    </row>
    <row r="19" spans="1:196" s="25" customFormat="1" ht="15" x14ac:dyDescent="0.25">
      <c r="A19" s="24" t="s">
        <v>26</v>
      </c>
      <c r="B19" s="25">
        <v>3053</v>
      </c>
      <c r="C19" s="25">
        <v>2932</v>
      </c>
      <c r="D19" s="25">
        <v>2850</v>
      </c>
      <c r="E19" s="25">
        <v>3158</v>
      </c>
      <c r="F19" s="25">
        <v>3600</v>
      </c>
      <c r="G19" s="25">
        <v>3460</v>
      </c>
      <c r="H19" s="25">
        <v>3564</v>
      </c>
      <c r="I19" s="25">
        <v>3848</v>
      </c>
      <c r="J19" s="25">
        <v>3423</v>
      </c>
      <c r="K19" s="25">
        <v>3441</v>
      </c>
      <c r="L19" s="25">
        <f>14194-K19-J19-I19</f>
        <v>3482</v>
      </c>
      <c r="M19" s="25">
        <v>3946</v>
      </c>
      <c r="N19" s="25">
        <v>3718</v>
      </c>
      <c r="O19" s="25">
        <v>3441</v>
      </c>
      <c r="P19" s="25">
        <f>15261-O19-N19-M19</f>
        <v>4156</v>
      </c>
      <c r="Q19" s="25">
        <v>4231</v>
      </c>
      <c r="R19" s="25">
        <v>4150</v>
      </c>
      <c r="S19" s="25">
        <v>4108</v>
      </c>
      <c r="T19" s="25">
        <f>15261-S19-R19-Q19</f>
        <v>2772</v>
      </c>
      <c r="U19" s="25">
        <v>4783</v>
      </c>
      <c r="V19" s="25">
        <v>4458</v>
      </c>
      <c r="W19" s="25">
        <v>4426</v>
      </c>
      <c r="X19" s="25">
        <f>18245-U19-V19-W19</f>
        <v>4578</v>
      </c>
      <c r="Y19" s="25">
        <v>5197</v>
      </c>
      <c r="Z19" s="25">
        <v>4952</v>
      </c>
      <c r="AA19" s="25">
        <v>4831</v>
      </c>
      <c r="AB19" s="25">
        <f>19916-Y19-Z19-AA19</f>
        <v>4936</v>
      </c>
      <c r="AC19" s="25">
        <v>5631</v>
      </c>
      <c r="AD19" s="25">
        <v>5314</v>
      </c>
      <c r="AE19" s="25">
        <v>5412</v>
      </c>
      <c r="AF19" s="25">
        <f>21973-AC19-AD19-AE19</f>
        <v>5616</v>
      </c>
      <c r="AG19" s="25">
        <v>6449</v>
      </c>
      <c r="AH19" s="25">
        <v>6193</v>
      </c>
      <c r="AI19" s="25">
        <v>6012</v>
      </c>
      <c r="AJ19" s="25">
        <v>25094</v>
      </c>
      <c r="AK19" s="25">
        <v>6607</v>
      </c>
      <c r="AL19" s="25">
        <v>6201</v>
      </c>
      <c r="AM19" s="25">
        <v>5973</v>
      </c>
      <c r="AN19" s="25">
        <f>24932-AM19-AL19-AK19</f>
        <v>6151</v>
      </c>
      <c r="AO19" s="25">
        <v>6786</v>
      </c>
      <c r="AP19" s="25">
        <v>6468</v>
      </c>
      <c r="AQ19" s="25">
        <v>5973</v>
      </c>
      <c r="AR19" s="25">
        <f>24932-AQ19-AP19-AO19</f>
        <v>5705</v>
      </c>
      <c r="AS19" s="25">
        <v>6786</v>
      </c>
      <c r="AU19" s="25">
        <v>11993</v>
      </c>
      <c r="AV19" s="25">
        <v>14329</v>
      </c>
      <c r="AW19" s="25">
        <v>14194</v>
      </c>
      <c r="AX19" s="25">
        <v>15261</v>
      </c>
      <c r="AY19" s="25">
        <v>15261</v>
      </c>
      <c r="AZ19" s="25">
        <v>18245</v>
      </c>
      <c r="BA19" s="25">
        <v>19916</v>
      </c>
      <c r="BB19" s="25">
        <v>21973</v>
      </c>
      <c r="BC19" s="25">
        <v>25094</v>
      </c>
      <c r="BD19" s="25">
        <v>24932</v>
      </c>
      <c r="BE19" s="25">
        <f t="shared" si="27"/>
        <v>24932</v>
      </c>
      <c r="BF19" s="25">
        <f>BE19*1.03</f>
        <v>25679.96</v>
      </c>
      <c r="BG19" s="25">
        <f t="shared" si="2"/>
        <v>26193.5592</v>
      </c>
      <c r="BH19" s="25">
        <f t="shared" si="2"/>
        <v>26717.430383999999</v>
      </c>
      <c r="BI19" s="25">
        <f t="shared" si="2"/>
        <v>27251.778991679999</v>
      </c>
      <c r="BJ19" s="25">
        <f t="shared" si="2"/>
        <v>27796.814571513602</v>
      </c>
      <c r="BK19" s="25">
        <f t="shared" si="2"/>
        <v>28352.750862943874</v>
      </c>
      <c r="BL19" s="25">
        <f t="shared" si="2"/>
        <v>28919.805880202752</v>
      </c>
      <c r="BM19" s="25">
        <f t="shared" si="2"/>
        <v>29498.201997806806</v>
      </c>
      <c r="BN19" s="25">
        <f t="shared" si="2"/>
        <v>30088.166037762941</v>
      </c>
      <c r="BO19" s="25">
        <f t="shared" si="2"/>
        <v>30689.929358518202</v>
      </c>
    </row>
    <row r="20" spans="1:196" s="29" customFormat="1" ht="15" x14ac:dyDescent="0.25">
      <c r="A20" s="27" t="s">
        <v>27</v>
      </c>
      <c r="B20" s="28">
        <f t="shared" ref="B20" si="28">B18+B19</f>
        <v>4383</v>
      </c>
      <c r="C20" s="28">
        <f t="shared" ref="C20:D20" si="29">C18+C19</f>
        <v>4354</v>
      </c>
      <c r="D20" s="28">
        <f t="shared" si="29"/>
        <v>4453</v>
      </c>
      <c r="E20" s="28">
        <f t="shared" ref="E20:F20" si="30">E18+E19</f>
        <v>4844</v>
      </c>
      <c r="F20" s="28">
        <f t="shared" si="30"/>
        <v>5495</v>
      </c>
      <c r="G20" s="28">
        <f t="shared" ref="G20:H20" si="31">G18+G19</f>
        <v>5378</v>
      </c>
      <c r="H20" s="28">
        <f t="shared" si="31"/>
        <v>5598</v>
      </c>
      <c r="I20" s="28">
        <f t="shared" ref="I20:O20" si="32">I18+I19</f>
        <v>6252</v>
      </c>
      <c r="J20" s="28">
        <f t="shared" si="32"/>
        <v>5934</v>
      </c>
      <c r="K20" s="28">
        <f t="shared" si="32"/>
        <v>6001</v>
      </c>
      <c r="L20" s="28">
        <f t="shared" si="32"/>
        <v>6052</v>
      </c>
      <c r="M20" s="28">
        <f t="shared" si="32"/>
        <v>6817</v>
      </c>
      <c r="N20" s="28">
        <f t="shared" si="32"/>
        <v>6494</v>
      </c>
      <c r="O20" s="28">
        <f t="shared" si="32"/>
        <v>6001</v>
      </c>
      <c r="P20" s="28">
        <f t="shared" ref="P20:Q20" si="33">P18+P19</f>
        <v>7530</v>
      </c>
      <c r="Q20" s="28">
        <f t="shared" si="33"/>
        <v>7638</v>
      </c>
      <c r="R20" s="28">
        <f t="shared" ref="R20" si="34">R18+R19</f>
        <v>7528</v>
      </c>
      <c r="S20" s="28">
        <f t="shared" ref="S20" si="35">S18+S19</f>
        <v>7809</v>
      </c>
      <c r="T20" s="28">
        <f t="shared" ref="T20" si="36">T18+T19</f>
        <v>3867</v>
      </c>
      <c r="U20" s="28">
        <f t="shared" ref="U20" si="37">U18+U19</f>
        <v>8685</v>
      </c>
      <c r="V20" s="28">
        <f t="shared" ref="V20" si="38">V18+V19</f>
        <v>8406</v>
      </c>
      <c r="W20" s="28">
        <f t="shared" ref="W20" si="39">W18+W19</f>
        <v>8683</v>
      </c>
      <c r="X20" s="28">
        <f t="shared" ref="X20" si="40">X18+X19</f>
        <v>8688</v>
      </c>
      <c r="Y20" s="28">
        <f t="shared" ref="Y20" si="41">Y18+Y19</f>
        <v>9648</v>
      </c>
      <c r="Z20" s="28">
        <f t="shared" ref="Z20" si="42">Z18+Z19</f>
        <v>9517</v>
      </c>
      <c r="AA20" s="28">
        <f t="shared" ref="AA20" si="43">AA18+AA19</f>
        <v>9589</v>
      </c>
      <c r="AB20" s="28">
        <f t="shared" ref="AB20" si="44">AB18+AB19</f>
        <v>9914</v>
      </c>
      <c r="AC20" s="28">
        <f t="shared" ref="AC20:AJ20" si="45">AC18+AC19</f>
        <v>10794</v>
      </c>
      <c r="AD20" s="28">
        <f t="shared" si="45"/>
        <v>10576</v>
      </c>
      <c r="AE20" s="28">
        <f t="shared" si="45"/>
        <v>11129</v>
      </c>
      <c r="AF20" s="28">
        <f t="shared" si="45"/>
        <v>11388</v>
      </c>
      <c r="AG20" s="28">
        <f t="shared" si="45"/>
        <v>12755</v>
      </c>
      <c r="AH20" s="28">
        <f t="shared" si="45"/>
        <v>12580</v>
      </c>
      <c r="AI20" s="28">
        <f t="shared" si="45"/>
        <v>12809</v>
      </c>
      <c r="AJ20" s="28">
        <f t="shared" si="45"/>
        <v>51345</v>
      </c>
      <c r="AK20" s="28">
        <f>AK18+AK19</f>
        <v>14316</v>
      </c>
      <c r="AL20" s="28">
        <f t="shared" ref="AL20:AS20" si="46">AL18+AL19</f>
        <v>13658</v>
      </c>
      <c r="AM20" s="28">
        <f t="shared" si="46"/>
        <v>13415</v>
      </c>
      <c r="AN20" s="28">
        <f t="shared" si="46"/>
        <v>13458</v>
      </c>
      <c r="AO20" s="28">
        <f t="shared" si="46"/>
        <v>14482</v>
      </c>
      <c r="AP20" s="28">
        <f t="shared" si="46"/>
        <v>14371</v>
      </c>
      <c r="AQ20" s="28">
        <f t="shared" si="46"/>
        <v>13415</v>
      </c>
      <c r="AR20" s="28">
        <f t="shared" si="46"/>
        <v>12579</v>
      </c>
      <c r="AS20" s="28">
        <f t="shared" si="46"/>
        <v>14482</v>
      </c>
      <c r="AU20" s="30">
        <f t="shared" ref="AU20:BO20" si="47">AU18+AU19</f>
        <v>18034</v>
      </c>
      <c r="AV20" s="30">
        <f t="shared" si="47"/>
        <v>22396</v>
      </c>
      <c r="AW20" s="30">
        <f t="shared" si="47"/>
        <v>24239</v>
      </c>
      <c r="AX20" s="30">
        <f t="shared" si="47"/>
        <v>26842</v>
      </c>
      <c r="AY20" s="30">
        <f t="shared" si="47"/>
        <v>26842</v>
      </c>
      <c r="AZ20" s="30">
        <f t="shared" si="47"/>
        <v>34462</v>
      </c>
      <c r="BA20" s="30">
        <f t="shared" si="47"/>
        <v>38668</v>
      </c>
      <c r="BB20" s="30">
        <f t="shared" si="47"/>
        <v>43887</v>
      </c>
      <c r="BC20" s="30">
        <f t="shared" si="47"/>
        <v>51345</v>
      </c>
      <c r="BD20" s="30">
        <f t="shared" si="47"/>
        <v>54847</v>
      </c>
      <c r="BE20" s="30">
        <f t="shared" si="47"/>
        <v>54847</v>
      </c>
      <c r="BF20" s="30">
        <f t="shared" si="47"/>
        <v>56492.41</v>
      </c>
      <c r="BG20" s="30">
        <f t="shared" si="47"/>
        <v>57622.258199999997</v>
      </c>
      <c r="BH20" s="30">
        <f t="shared" si="47"/>
        <v>58774.703364000001</v>
      </c>
      <c r="BI20" s="30">
        <f t="shared" si="47"/>
        <v>59950.197431280001</v>
      </c>
      <c r="BJ20" s="30">
        <f t="shared" si="47"/>
        <v>61149.2013799056</v>
      </c>
      <c r="BK20" s="30">
        <f t="shared" si="47"/>
        <v>62372.185407503719</v>
      </c>
      <c r="BL20" s="30">
        <f t="shared" si="47"/>
        <v>63619.629115653792</v>
      </c>
      <c r="BM20" s="30">
        <f t="shared" si="47"/>
        <v>64892.021697966869</v>
      </c>
      <c r="BN20" s="30">
        <f t="shared" si="47"/>
        <v>66189.862131926202</v>
      </c>
      <c r="BO20" s="30">
        <f t="shared" si="47"/>
        <v>67513.659374564741</v>
      </c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</row>
    <row r="21" spans="1:196" s="33" customFormat="1" ht="16.2" thickBot="1" x14ac:dyDescent="0.35">
      <c r="A21" s="31" t="s">
        <v>28</v>
      </c>
      <c r="B21" s="32">
        <f t="shared" ref="B21" si="48">B17-B20</f>
        <v>17463</v>
      </c>
      <c r="C21" s="32">
        <f t="shared" ref="C21:D21" si="49">C17-C20</f>
        <v>13593</v>
      </c>
      <c r="D21" s="32">
        <f t="shared" si="49"/>
        <v>10282</v>
      </c>
      <c r="E21" s="32">
        <f t="shared" ref="E21:F21" si="50">E17-E20</f>
        <v>11165</v>
      </c>
      <c r="F21" s="32">
        <f t="shared" si="50"/>
        <v>24246</v>
      </c>
      <c r="G21" s="32">
        <f t="shared" ref="G21:H21" si="51">G17-G20</f>
        <v>18278</v>
      </c>
      <c r="H21" s="32">
        <f t="shared" si="51"/>
        <v>14083</v>
      </c>
      <c r="I21" s="32">
        <f t="shared" ref="I21:O21" si="52">I17-I20</f>
        <v>24171</v>
      </c>
      <c r="J21" s="32">
        <f t="shared" si="52"/>
        <v>13987</v>
      </c>
      <c r="K21" s="32">
        <f t="shared" si="52"/>
        <v>10105</v>
      </c>
      <c r="L21" s="32">
        <f t="shared" si="52"/>
        <v>11761</v>
      </c>
      <c r="M21" s="32">
        <f t="shared" si="52"/>
        <v>23359</v>
      </c>
      <c r="N21" s="32">
        <f t="shared" si="52"/>
        <v>14097</v>
      </c>
      <c r="O21" s="32">
        <f t="shared" si="52"/>
        <v>10105</v>
      </c>
      <c r="P21" s="32">
        <f t="shared" ref="P21:Q21" si="53">P17-P20</f>
        <v>13783</v>
      </c>
      <c r="Q21" s="32">
        <f t="shared" si="53"/>
        <v>26274</v>
      </c>
      <c r="R21" s="32">
        <f t="shared" ref="R21" si="54">R17-R20</f>
        <v>15894</v>
      </c>
      <c r="S21" s="32">
        <f t="shared" ref="S21" si="55">S17-S20</f>
        <v>12612</v>
      </c>
      <c r="T21" s="32">
        <f t="shared" ref="T21" si="56">T17-T20</f>
        <v>20217</v>
      </c>
      <c r="U21" s="32">
        <f t="shared" ref="U21" si="57">U17-U20</f>
        <v>23346</v>
      </c>
      <c r="V21" s="32">
        <f t="shared" ref="V21" si="58">V17-V20</f>
        <v>13415</v>
      </c>
      <c r="W21" s="32">
        <f t="shared" ref="W21" si="59">W17-W20</f>
        <v>11544</v>
      </c>
      <c r="X21" s="32">
        <f t="shared" ref="X21" si="60">X17-X20</f>
        <v>15655</v>
      </c>
      <c r="Y21" s="32">
        <f t="shared" ref="Y21" si="61">Y17-Y20</f>
        <v>25569</v>
      </c>
      <c r="Z21" s="32">
        <f t="shared" ref="Z21" si="62">Z17-Z20</f>
        <v>12853</v>
      </c>
      <c r="AA21" s="32">
        <f t="shared" ref="AA21" si="63">AA17-AA20</f>
        <v>13091</v>
      </c>
      <c r="AB21" s="32">
        <f t="shared" ref="AB21" si="64">AB17-AB20</f>
        <v>14775</v>
      </c>
      <c r="AC21" s="32">
        <f t="shared" ref="AC21:AJ21" si="65">AC17-AC20</f>
        <v>33534</v>
      </c>
      <c r="AD21" s="32">
        <f t="shared" si="65"/>
        <v>27503</v>
      </c>
      <c r="AE21" s="32">
        <f t="shared" si="65"/>
        <v>24126</v>
      </c>
      <c r="AF21" s="32">
        <f t="shared" si="65"/>
        <v>23786</v>
      </c>
      <c r="AG21" s="32">
        <f t="shared" si="65"/>
        <v>41488</v>
      </c>
      <c r="AH21" s="32">
        <f t="shared" si="65"/>
        <v>29979</v>
      </c>
      <c r="AI21" s="32">
        <f t="shared" si="65"/>
        <v>23076</v>
      </c>
      <c r="AJ21" s="32">
        <f t="shared" si="65"/>
        <v>-13250</v>
      </c>
      <c r="AK21" s="32">
        <f>AK17-AK20</f>
        <v>36016</v>
      </c>
      <c r="AL21" s="32">
        <f t="shared" ref="AL21:AO21" si="66">AL17-AL20</f>
        <v>28318</v>
      </c>
      <c r="AM21" s="32">
        <f t="shared" si="66"/>
        <v>22998</v>
      </c>
      <c r="AN21" s="32">
        <f t="shared" si="66"/>
        <v>26969</v>
      </c>
      <c r="AO21" s="32">
        <f t="shared" si="66"/>
        <v>40373</v>
      </c>
      <c r="AP21" s="32">
        <f>AP17-AP20</f>
        <v>27900</v>
      </c>
      <c r="AQ21" s="32">
        <f>AQ17-AQ20</f>
        <v>22848.064009999995</v>
      </c>
      <c r="AR21" s="32">
        <f>AR17-AR20</f>
        <v>29660.47608</v>
      </c>
      <c r="AS21" s="32">
        <f>AS17-AS20</f>
        <v>34878.559999999998</v>
      </c>
      <c r="AT21" s="32"/>
      <c r="AU21" s="32">
        <f>AU17-AU20</f>
        <v>52503</v>
      </c>
      <c r="AV21" s="32">
        <f>AV17-AV20</f>
        <v>71230</v>
      </c>
      <c r="AW21" s="32">
        <f>AW17-AW20</f>
        <v>60024</v>
      </c>
      <c r="AX21" s="32">
        <f>AX17-AX20</f>
        <v>61344</v>
      </c>
      <c r="AY21" s="32">
        <f>AY17-AY20</f>
        <v>97705</v>
      </c>
      <c r="AZ21" s="32">
        <f t="shared" ref="AZ21:BO21" si="67">AZ17-AZ20</f>
        <v>63960</v>
      </c>
      <c r="BA21" s="32">
        <f t="shared" si="67"/>
        <v>66288</v>
      </c>
      <c r="BB21" s="32">
        <f t="shared" si="67"/>
        <v>108949</v>
      </c>
      <c r="BC21" s="32">
        <f t="shared" si="67"/>
        <v>119437</v>
      </c>
      <c r="BD21" s="32">
        <f t="shared" si="67"/>
        <v>114301</v>
      </c>
      <c r="BE21" s="32">
        <f t="shared" si="67"/>
        <v>120781.54009000002</v>
      </c>
      <c r="BF21" s="32">
        <f t="shared" si="67"/>
        <v>124404.98629270002</v>
      </c>
      <c r="BG21" s="32">
        <f t="shared" si="67"/>
        <v>130873.88826505402</v>
      </c>
      <c r="BH21" s="32">
        <f t="shared" si="67"/>
        <v>137591.59234425012</v>
      </c>
      <c r="BI21" s="32">
        <f t="shared" si="67"/>
        <v>144566.65729444695</v>
      </c>
      <c r="BJ21" s="32">
        <f t="shared" si="67"/>
        <v>151807.92053674711</v>
      </c>
      <c r="BK21" s="32">
        <f t="shared" si="67"/>
        <v>159324.50694678558</v>
      </c>
      <c r="BL21" s="32">
        <f t="shared" si="67"/>
        <v>167125.8379250039</v>
      </c>
      <c r="BM21" s="32">
        <f t="shared" si="67"/>
        <v>175221.64074796511</v>
      </c>
      <c r="BN21" s="32">
        <f t="shared" si="67"/>
        <v>183621.95820931939</v>
      </c>
      <c r="BO21" s="32">
        <f t="shared" si="67"/>
        <v>192337.15855929261</v>
      </c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</row>
    <row r="22" spans="1:196" s="35" customFormat="1" ht="15" x14ac:dyDescent="0.25">
      <c r="A22" s="34" t="s">
        <v>34</v>
      </c>
      <c r="B22" s="35">
        <v>246</v>
      </c>
      <c r="C22" s="35">
        <v>225</v>
      </c>
      <c r="D22" s="35">
        <v>202</v>
      </c>
      <c r="E22" s="35">
        <v>307</v>
      </c>
      <c r="F22" s="35">
        <v>170</v>
      </c>
      <c r="G22" s="35">
        <v>286</v>
      </c>
      <c r="H22" s="35">
        <v>390</v>
      </c>
      <c r="I22" s="35">
        <v>402</v>
      </c>
      <c r="J22" s="35">
        <v>155</v>
      </c>
      <c r="K22" s="35">
        <v>264</v>
      </c>
      <c r="L22" s="35">
        <f>1348-K22-J22-I22</f>
        <v>527</v>
      </c>
      <c r="M22" s="35">
        <v>821</v>
      </c>
      <c r="N22" s="35">
        <v>587</v>
      </c>
      <c r="O22" s="35">
        <v>364</v>
      </c>
      <c r="P22" s="35">
        <f>2745-O22-N22-M22</f>
        <v>973</v>
      </c>
      <c r="Q22" s="35">
        <v>756</v>
      </c>
      <c r="R22" s="35">
        <v>274</v>
      </c>
      <c r="S22" s="35">
        <v>672</v>
      </c>
      <c r="T22" s="35">
        <f>2745-Q22-R22-S22</f>
        <v>1043</v>
      </c>
      <c r="U22" s="35">
        <v>560</v>
      </c>
      <c r="V22" s="35">
        <v>378</v>
      </c>
      <c r="W22" s="35">
        <v>367</v>
      </c>
      <c r="X22" s="35">
        <f>1807-U22-V22-W22</f>
        <v>502</v>
      </c>
      <c r="Y22" s="35">
        <v>349</v>
      </c>
      <c r="Z22" s="35">
        <v>282</v>
      </c>
      <c r="AA22" s="35">
        <v>46</v>
      </c>
      <c r="AB22" s="35">
        <f>803-Y22-Z22-AA22</f>
        <v>126</v>
      </c>
      <c r="AC22" s="35">
        <v>45</v>
      </c>
      <c r="AD22" s="35">
        <v>508</v>
      </c>
      <c r="AE22" s="35">
        <v>243</v>
      </c>
      <c r="AF22" s="35">
        <f>258-AC22-AD22-AE22</f>
        <v>-538</v>
      </c>
      <c r="AG22" s="35">
        <v>-247</v>
      </c>
      <c r="AH22" s="35">
        <v>160</v>
      </c>
      <c r="AI22" s="35">
        <v>-10</v>
      </c>
      <c r="AJ22" s="35">
        <v>-334</v>
      </c>
      <c r="AK22" s="35">
        <v>-393</v>
      </c>
      <c r="AL22" s="35">
        <v>64</v>
      </c>
      <c r="AM22" s="35">
        <v>-265</v>
      </c>
      <c r="AN22" s="35">
        <f>-565-AM22-AK22-AL22</f>
        <v>29</v>
      </c>
      <c r="AO22" s="35">
        <v>-50</v>
      </c>
      <c r="AP22" s="35">
        <v>158</v>
      </c>
      <c r="AQ22" s="35">
        <f>AP22+10</f>
        <v>168</v>
      </c>
      <c r="AR22" s="35">
        <f t="shared" ref="AR22:AS22" si="68">AQ22+10</f>
        <v>178</v>
      </c>
      <c r="AS22" s="35">
        <f t="shared" si="68"/>
        <v>188</v>
      </c>
      <c r="AU22" s="35">
        <v>980</v>
      </c>
      <c r="AV22" s="35">
        <v>1285</v>
      </c>
      <c r="AW22" s="35">
        <v>1348</v>
      </c>
      <c r="AX22" s="35">
        <v>2745</v>
      </c>
      <c r="AY22" s="35">
        <v>2745</v>
      </c>
      <c r="AZ22" s="35">
        <v>1807</v>
      </c>
      <c r="BA22" s="35">
        <v>803</v>
      </c>
      <c r="BB22" s="35">
        <v>258</v>
      </c>
      <c r="BC22" s="35">
        <v>-334</v>
      </c>
      <c r="BD22" s="35">
        <v>-565</v>
      </c>
      <c r="BE22" s="25">
        <f t="shared" ref="BE22:BE24" si="69">SUM(AO22:AR22)</f>
        <v>454</v>
      </c>
      <c r="BF22" s="25">
        <f>BE22*1.03</f>
        <v>467.62</v>
      </c>
      <c r="BG22" s="25">
        <f t="shared" ref="BG22:BO22" si="70">BF22*1.02</f>
        <v>476.97239999999999</v>
      </c>
      <c r="BH22" s="25">
        <f t="shared" si="70"/>
        <v>486.51184799999999</v>
      </c>
      <c r="BI22" s="25">
        <f t="shared" si="70"/>
        <v>496.24208496</v>
      </c>
      <c r="BJ22" s="25">
        <f t="shared" si="70"/>
        <v>506.16692665919999</v>
      </c>
      <c r="BK22" s="25">
        <f t="shared" si="70"/>
        <v>516.29026519238403</v>
      </c>
      <c r="BL22" s="25">
        <f t="shared" si="70"/>
        <v>526.61607049623171</v>
      </c>
      <c r="BM22" s="25">
        <f t="shared" si="70"/>
        <v>537.14839190615635</v>
      </c>
      <c r="BN22" s="25">
        <f t="shared" si="70"/>
        <v>547.8913597442795</v>
      </c>
      <c r="BO22" s="25">
        <f t="shared" si="70"/>
        <v>558.84918693916507</v>
      </c>
    </row>
    <row r="23" spans="1:196" ht="15" x14ac:dyDescent="0.25">
      <c r="A23" s="27" t="s">
        <v>32</v>
      </c>
      <c r="B23" s="25">
        <f t="shared" ref="B23" si="71">B21+B22</f>
        <v>17709</v>
      </c>
      <c r="C23" s="25">
        <f t="shared" ref="C23:D23" si="72">C21+C22</f>
        <v>13818</v>
      </c>
      <c r="D23" s="25">
        <f t="shared" si="72"/>
        <v>10484</v>
      </c>
      <c r="E23" s="25">
        <f t="shared" ref="E23:F23" si="73">E21+E22</f>
        <v>11472</v>
      </c>
      <c r="F23" s="25">
        <f t="shared" si="73"/>
        <v>24416</v>
      </c>
      <c r="G23" s="25">
        <f t="shared" ref="G23:H23" si="74">G21+G22</f>
        <v>18564</v>
      </c>
      <c r="H23" s="25">
        <f t="shared" si="74"/>
        <v>14473</v>
      </c>
      <c r="I23" s="25">
        <f t="shared" ref="I23:O23" si="75">I21+I22</f>
        <v>24573</v>
      </c>
      <c r="J23" s="25">
        <f t="shared" si="75"/>
        <v>14142</v>
      </c>
      <c r="K23" s="25">
        <f t="shared" si="75"/>
        <v>10369</v>
      </c>
      <c r="L23" s="25">
        <f t="shared" si="75"/>
        <v>12288</v>
      </c>
      <c r="M23" s="25">
        <f t="shared" si="75"/>
        <v>24180</v>
      </c>
      <c r="N23" s="25">
        <f t="shared" si="75"/>
        <v>14684</v>
      </c>
      <c r="O23" s="25">
        <f t="shared" si="75"/>
        <v>10469</v>
      </c>
      <c r="P23" s="25">
        <f t="shared" ref="P23:Q23" si="76">P21+P22</f>
        <v>14756</v>
      </c>
      <c r="Q23" s="25">
        <f t="shared" si="76"/>
        <v>27030</v>
      </c>
      <c r="R23" s="25">
        <f t="shared" ref="R23" si="77">R21+R22</f>
        <v>16168</v>
      </c>
      <c r="S23" s="25">
        <f t="shared" ref="S23" si="78">S21+S22</f>
        <v>13284</v>
      </c>
      <c r="T23" s="25">
        <f t="shared" ref="T23" si="79">T21+T22</f>
        <v>21260</v>
      </c>
      <c r="U23" s="25">
        <f t="shared" ref="U23" si="80">U21+U22</f>
        <v>23906</v>
      </c>
      <c r="V23" s="25">
        <f t="shared" ref="V23" si="81">V21+V22</f>
        <v>13793</v>
      </c>
      <c r="W23" s="25">
        <f t="shared" ref="W23" si="82">W21+W22</f>
        <v>11911</v>
      </c>
      <c r="X23" s="25">
        <f t="shared" ref="X23" si="83">X21+X22</f>
        <v>16157</v>
      </c>
      <c r="Y23" s="25">
        <f t="shared" ref="Y23" si="84">Y21+Y22</f>
        <v>25918</v>
      </c>
      <c r="Z23" s="25">
        <f t="shared" ref="Z23" si="85">Z21+Z22</f>
        <v>13135</v>
      </c>
      <c r="AA23" s="25">
        <f t="shared" ref="AA23" si="86">AA21+AA22</f>
        <v>13137</v>
      </c>
      <c r="AB23" s="25">
        <f t="shared" ref="AB23" si="87">AB21+AB22</f>
        <v>14901</v>
      </c>
      <c r="AC23" s="25">
        <f t="shared" ref="AC23:AJ23" si="88">AC21+AC22</f>
        <v>33579</v>
      </c>
      <c r="AD23" s="25">
        <f t="shared" si="88"/>
        <v>28011</v>
      </c>
      <c r="AE23" s="25">
        <f t="shared" si="88"/>
        <v>24369</v>
      </c>
      <c r="AF23" s="25">
        <f t="shared" si="88"/>
        <v>23248</v>
      </c>
      <c r="AG23" s="25">
        <f t="shared" si="88"/>
        <v>41241</v>
      </c>
      <c r="AH23" s="25">
        <f t="shared" si="88"/>
        <v>30139</v>
      </c>
      <c r="AI23" s="25">
        <f t="shared" si="88"/>
        <v>23066</v>
      </c>
      <c r="AJ23" s="25">
        <f t="shared" si="88"/>
        <v>-13584</v>
      </c>
      <c r="AK23" s="25">
        <f>AK21+AK22</f>
        <v>35623</v>
      </c>
      <c r="AL23" s="25">
        <f t="shared" ref="AL23:AU23" si="89">AL21+AL22</f>
        <v>28382</v>
      </c>
      <c r="AM23" s="25">
        <f t="shared" si="89"/>
        <v>22733</v>
      </c>
      <c r="AN23" s="25">
        <f t="shared" si="89"/>
        <v>26998</v>
      </c>
      <c r="AO23" s="25">
        <f t="shared" si="89"/>
        <v>40323</v>
      </c>
      <c r="AP23" s="25">
        <f t="shared" si="89"/>
        <v>28058</v>
      </c>
      <c r="AQ23" s="25">
        <f t="shared" si="89"/>
        <v>23016.064009999995</v>
      </c>
      <c r="AR23" s="25">
        <f t="shared" si="89"/>
        <v>29838.47608</v>
      </c>
      <c r="AS23" s="25">
        <f t="shared" si="89"/>
        <v>35066.559999999998</v>
      </c>
      <c r="AT23" s="25"/>
      <c r="AU23" s="25">
        <f t="shared" si="89"/>
        <v>53483</v>
      </c>
      <c r="AV23" s="25">
        <f t="shared" ref="AV23:BO23" si="90">AV21+AV22</f>
        <v>72515</v>
      </c>
      <c r="AW23" s="25">
        <f t="shared" si="90"/>
        <v>61372</v>
      </c>
      <c r="AX23" s="25">
        <f t="shared" si="90"/>
        <v>64089</v>
      </c>
      <c r="AY23" s="25">
        <f t="shared" si="90"/>
        <v>100450</v>
      </c>
      <c r="AZ23" s="25">
        <f t="shared" si="90"/>
        <v>65767</v>
      </c>
      <c r="BA23" s="25">
        <f t="shared" si="90"/>
        <v>67091</v>
      </c>
      <c r="BB23" s="25">
        <f t="shared" si="90"/>
        <v>109207</v>
      </c>
      <c r="BC23" s="25">
        <v>119103</v>
      </c>
      <c r="BD23" s="25">
        <v>113736</v>
      </c>
      <c r="BE23" s="25">
        <f t="shared" si="69"/>
        <v>121235.54008999999</v>
      </c>
      <c r="BF23" s="25">
        <f t="shared" si="90"/>
        <v>124872.60629270002</v>
      </c>
      <c r="BG23" s="25">
        <f t="shared" si="90"/>
        <v>131350.86066505403</v>
      </c>
      <c r="BH23" s="25">
        <f t="shared" si="90"/>
        <v>138078.10419225012</v>
      </c>
      <c r="BI23" s="25">
        <f t="shared" si="90"/>
        <v>145062.89937940694</v>
      </c>
      <c r="BJ23" s="25">
        <f t="shared" si="90"/>
        <v>152314.08746340632</v>
      </c>
      <c r="BK23" s="25">
        <f t="shared" si="90"/>
        <v>159840.79721197797</v>
      </c>
      <c r="BL23" s="25">
        <f t="shared" si="90"/>
        <v>167652.45399550014</v>
      </c>
      <c r="BM23" s="25">
        <f t="shared" si="90"/>
        <v>175758.78913987125</v>
      </c>
      <c r="BN23" s="25">
        <f t="shared" si="90"/>
        <v>184169.84956906366</v>
      </c>
      <c r="BO23" s="25">
        <f t="shared" si="90"/>
        <v>192896.00774623177</v>
      </c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</row>
    <row r="24" spans="1:196" s="25" customFormat="1" ht="15" x14ac:dyDescent="0.25">
      <c r="A24" s="24" t="s">
        <v>33</v>
      </c>
      <c r="B24" s="25">
        <v>4637</v>
      </c>
      <c r="C24" s="25">
        <v>3595</v>
      </c>
      <c r="D24" s="25">
        <v>2736</v>
      </c>
      <c r="E24" s="25">
        <v>3005</v>
      </c>
      <c r="F24" s="25">
        <v>6392</v>
      </c>
      <c r="G24" s="25">
        <v>4995</v>
      </c>
      <c r="H24" s="25">
        <v>3796</v>
      </c>
      <c r="I24" s="25">
        <v>6212</v>
      </c>
      <c r="J24" s="25">
        <v>3626</v>
      </c>
      <c r="K24" s="25">
        <v>2673</v>
      </c>
      <c r="L24" s="25">
        <f>15685-K24-J24-I24</f>
        <v>3174</v>
      </c>
      <c r="M24" s="25">
        <v>6289</v>
      </c>
      <c r="N24" s="25">
        <v>3655</v>
      </c>
      <c r="O24" s="25">
        <v>2673</v>
      </c>
      <c r="P24" s="25">
        <f>15738-O24-N24-M24</f>
        <v>3121</v>
      </c>
      <c r="Q24" s="25">
        <v>6965</v>
      </c>
      <c r="R24" s="25">
        <v>2346</v>
      </c>
      <c r="S24" s="25">
        <v>1765</v>
      </c>
      <c r="T24" s="25">
        <f>13372-Q24-R24-S24</f>
        <v>2296</v>
      </c>
      <c r="U24" s="25">
        <v>3941</v>
      </c>
      <c r="V24" s="25">
        <v>2232</v>
      </c>
      <c r="W24" s="25">
        <v>1867</v>
      </c>
      <c r="X24" s="25">
        <f>10481-U24-V24-W24</f>
        <v>2441</v>
      </c>
      <c r="Y24" s="25">
        <v>3682</v>
      </c>
      <c r="Z24" s="25">
        <v>1886</v>
      </c>
      <c r="AA24" s="25">
        <v>1884</v>
      </c>
      <c r="AB24" s="25">
        <f>9680-Y24-Z24-AA24</f>
        <v>2228</v>
      </c>
      <c r="AC24" s="25">
        <v>4824</v>
      </c>
      <c r="AD24" s="25">
        <v>4381</v>
      </c>
      <c r="AE24" s="25">
        <v>2625</v>
      </c>
      <c r="AF24" s="25">
        <f>14527-AC24-AD24-AE24</f>
        <v>2697</v>
      </c>
      <c r="AG24" s="25">
        <v>6611</v>
      </c>
      <c r="AH24" s="25">
        <v>5129</v>
      </c>
      <c r="AI24" s="25">
        <v>3624</v>
      </c>
      <c r="AJ24" s="25">
        <v>19300</v>
      </c>
      <c r="AK24" s="25">
        <v>5625</v>
      </c>
      <c r="AL24" s="25">
        <v>4222</v>
      </c>
      <c r="AM24" s="25">
        <v>2852</v>
      </c>
      <c r="AN24" s="25">
        <f>16741-AK24-AL24-AM24</f>
        <v>4042</v>
      </c>
      <c r="AO24" s="25">
        <v>6407</v>
      </c>
      <c r="AP24" s="25">
        <v>4422</v>
      </c>
      <c r="AQ24" s="25">
        <f t="shared" ref="AQ24:AS24" si="91">AQ23*0.15</f>
        <v>3452.4096014999991</v>
      </c>
      <c r="AR24" s="25">
        <f t="shared" si="91"/>
        <v>4475.7714120000001</v>
      </c>
      <c r="AS24" s="25">
        <f t="shared" si="91"/>
        <v>5259.9839999999995</v>
      </c>
      <c r="AU24" s="25">
        <v>13973</v>
      </c>
      <c r="AV24" s="25">
        <v>19121</v>
      </c>
      <c r="AW24" s="25">
        <v>15685</v>
      </c>
      <c r="AX24" s="25">
        <v>15738</v>
      </c>
      <c r="AY24" s="25">
        <v>15738</v>
      </c>
      <c r="AZ24" s="25">
        <v>10481</v>
      </c>
      <c r="BA24" s="25">
        <v>9680</v>
      </c>
      <c r="BB24" s="25">
        <v>14527</v>
      </c>
      <c r="BC24" s="25">
        <v>19300</v>
      </c>
      <c r="BD24" s="25">
        <v>16741</v>
      </c>
      <c r="BE24" s="25">
        <f t="shared" si="69"/>
        <v>18757.181013499998</v>
      </c>
      <c r="BF24" s="25">
        <f>BF23*0.15</f>
        <v>18730.890943905</v>
      </c>
      <c r="BG24" s="25">
        <f t="shared" ref="BG24:BO24" si="92">BG23*0.15</f>
        <v>19702.629099758105</v>
      </c>
      <c r="BH24" s="25">
        <f t="shared" si="92"/>
        <v>20711.715628837515</v>
      </c>
      <c r="BI24" s="25">
        <f t="shared" si="92"/>
        <v>21759.434906911039</v>
      </c>
      <c r="BJ24" s="25">
        <f t="shared" si="92"/>
        <v>22847.113119510948</v>
      </c>
      <c r="BK24" s="25">
        <f t="shared" si="92"/>
        <v>23976.119581796695</v>
      </c>
      <c r="BL24" s="25">
        <f t="shared" si="92"/>
        <v>25147.86809932502</v>
      </c>
      <c r="BM24" s="25">
        <f t="shared" si="92"/>
        <v>26363.818370980687</v>
      </c>
      <c r="BN24" s="25">
        <f t="shared" si="92"/>
        <v>27625.477435359549</v>
      </c>
      <c r="BO24" s="25">
        <f t="shared" si="92"/>
        <v>28934.401161934766</v>
      </c>
    </row>
    <row r="25" spans="1:196" s="37" customFormat="1" ht="16.2" thickBot="1" x14ac:dyDescent="0.35">
      <c r="A25" s="31" t="s">
        <v>35</v>
      </c>
      <c r="B25" s="36">
        <f t="shared" ref="B25" si="93">B23-B24</f>
        <v>13072</v>
      </c>
      <c r="C25" s="36">
        <f t="shared" ref="C25:D25" si="94">C23-C24</f>
        <v>10223</v>
      </c>
      <c r="D25" s="36">
        <f t="shared" si="94"/>
        <v>7748</v>
      </c>
      <c r="E25" s="36">
        <f t="shared" ref="E25:F25" si="95">E23-E24</f>
        <v>8467</v>
      </c>
      <c r="F25" s="36">
        <f t="shared" si="95"/>
        <v>18024</v>
      </c>
      <c r="G25" s="36">
        <f t="shared" ref="G25:H25" si="96">G23-G24</f>
        <v>13569</v>
      </c>
      <c r="H25" s="36">
        <f t="shared" si="96"/>
        <v>10677</v>
      </c>
      <c r="I25" s="36">
        <f t="shared" ref="I25:O25" si="97">I23-I24</f>
        <v>18361</v>
      </c>
      <c r="J25" s="36">
        <f t="shared" si="97"/>
        <v>10516</v>
      </c>
      <c r="K25" s="36">
        <f t="shared" si="97"/>
        <v>7696</v>
      </c>
      <c r="L25" s="36">
        <f t="shared" si="97"/>
        <v>9114</v>
      </c>
      <c r="M25" s="36">
        <f t="shared" si="97"/>
        <v>17891</v>
      </c>
      <c r="N25" s="36">
        <f t="shared" si="97"/>
        <v>11029</v>
      </c>
      <c r="O25" s="36">
        <f t="shared" si="97"/>
        <v>7796</v>
      </c>
      <c r="P25" s="36">
        <f t="shared" ref="P25:AJ25" si="98">P23-P24</f>
        <v>11635</v>
      </c>
      <c r="Q25" s="36">
        <f t="shared" si="98"/>
        <v>20065</v>
      </c>
      <c r="R25" s="36">
        <f t="shared" si="98"/>
        <v>13822</v>
      </c>
      <c r="S25" s="36">
        <f t="shared" si="98"/>
        <v>11519</v>
      </c>
      <c r="T25" s="36">
        <f t="shared" si="98"/>
        <v>18964</v>
      </c>
      <c r="U25" s="36">
        <f t="shared" si="98"/>
        <v>19965</v>
      </c>
      <c r="V25" s="36">
        <f>V23-V24</f>
        <v>11561</v>
      </c>
      <c r="W25" s="36">
        <f t="shared" si="98"/>
        <v>10044</v>
      </c>
      <c r="X25" s="36">
        <f t="shared" si="98"/>
        <v>13716</v>
      </c>
      <c r="Y25" s="36">
        <f t="shared" si="98"/>
        <v>22236</v>
      </c>
      <c r="Z25" s="36">
        <f t="shared" si="98"/>
        <v>11249</v>
      </c>
      <c r="AA25" s="36">
        <f t="shared" si="98"/>
        <v>11253</v>
      </c>
      <c r="AB25" s="36">
        <f t="shared" si="98"/>
        <v>12673</v>
      </c>
      <c r="AC25" s="36">
        <f t="shared" si="98"/>
        <v>28755</v>
      </c>
      <c r="AD25" s="36">
        <f t="shared" si="98"/>
        <v>23630</v>
      </c>
      <c r="AE25" s="36">
        <f t="shared" si="98"/>
        <v>21744</v>
      </c>
      <c r="AF25" s="36">
        <f t="shared" si="98"/>
        <v>20551</v>
      </c>
      <c r="AG25" s="36">
        <f t="shared" si="98"/>
        <v>34630</v>
      </c>
      <c r="AH25" s="36">
        <f t="shared" si="98"/>
        <v>25010</v>
      </c>
      <c r="AI25" s="36">
        <f t="shared" si="98"/>
        <v>19442</v>
      </c>
      <c r="AJ25" s="36">
        <f t="shared" si="98"/>
        <v>-32884</v>
      </c>
      <c r="AK25" s="36">
        <f t="shared" ref="AK25:AO25" si="99">AK23-AK24</f>
        <v>29998</v>
      </c>
      <c r="AL25" s="36">
        <f t="shared" si="99"/>
        <v>24160</v>
      </c>
      <c r="AM25" s="36">
        <f t="shared" si="99"/>
        <v>19881</v>
      </c>
      <c r="AN25" s="36">
        <f t="shared" si="99"/>
        <v>22956</v>
      </c>
      <c r="AO25" s="36">
        <f t="shared" si="99"/>
        <v>33916</v>
      </c>
      <c r="AP25" s="36">
        <v>33916</v>
      </c>
      <c r="AQ25" s="36">
        <v>33916</v>
      </c>
      <c r="AR25" s="36">
        <v>33916</v>
      </c>
      <c r="AS25" s="36">
        <v>33916</v>
      </c>
      <c r="AT25" s="36"/>
      <c r="AU25" s="36">
        <f t="shared" ref="AU25" si="100">AU23-AU24</f>
        <v>39510</v>
      </c>
      <c r="AV25" s="36">
        <f t="shared" ref="AV25:AY25" si="101">AV23-AV24</f>
        <v>53394</v>
      </c>
      <c r="AW25" s="36">
        <f t="shared" si="101"/>
        <v>45687</v>
      </c>
      <c r="AX25" s="36">
        <f t="shared" si="101"/>
        <v>48351</v>
      </c>
      <c r="AY25" s="36">
        <f t="shared" si="101"/>
        <v>84712</v>
      </c>
      <c r="AZ25" s="36">
        <f t="shared" ref="AZ25" si="102">AZ23-AZ24</f>
        <v>55286</v>
      </c>
      <c r="BA25" s="36">
        <f t="shared" ref="BA25" si="103">BA23-BA24</f>
        <v>57411</v>
      </c>
      <c r="BB25" s="36">
        <f t="shared" ref="BB25" si="104">BB23-BB24</f>
        <v>94680</v>
      </c>
      <c r="BC25" s="36">
        <f t="shared" ref="BC25" si="105">BC23-BC24</f>
        <v>99803</v>
      </c>
      <c r="BD25" s="36">
        <f t="shared" ref="BD25" si="106">BD23-BD24</f>
        <v>96995</v>
      </c>
      <c r="BE25" s="36">
        <f t="shared" ref="BE25" si="107">BE23-BE24</f>
        <v>102478.3590765</v>
      </c>
      <c r="BF25" s="36">
        <f t="shared" ref="BF25" si="108">BF23-BF24</f>
        <v>106141.71534879501</v>
      </c>
      <c r="BG25" s="36">
        <f t="shared" ref="BG25" si="109">BG23-BG24</f>
        <v>111648.23156529592</v>
      </c>
      <c r="BH25" s="36">
        <f t="shared" ref="BH25" si="110">BH23-BH24</f>
        <v>117366.38856341261</v>
      </c>
      <c r="BI25" s="36">
        <f t="shared" ref="BI25" si="111">BI23-BI24</f>
        <v>123303.46447249589</v>
      </c>
      <c r="BJ25" s="36">
        <f t="shared" ref="BJ25" si="112">BJ23-BJ24</f>
        <v>129466.97434389537</v>
      </c>
      <c r="BK25" s="36">
        <f t="shared" ref="BK25" si="113">BK23-BK24</f>
        <v>135864.67763018128</v>
      </c>
      <c r="BL25" s="36">
        <f t="shared" ref="BL25" si="114">BL23-BL24</f>
        <v>142504.58589617512</v>
      </c>
      <c r="BM25" s="36">
        <f t="shared" ref="BM25" si="115">BM23-BM24</f>
        <v>149394.97076889058</v>
      </c>
      <c r="BN25" s="36">
        <f t="shared" ref="BN25" si="116">BN23-BN24</f>
        <v>156544.37213370411</v>
      </c>
      <c r="BO25" s="36">
        <f t="shared" ref="BO25" si="117">BO23-BO24</f>
        <v>163961.606584297</v>
      </c>
      <c r="BP25" s="36">
        <f>BO25*(1+$BR31)</f>
        <v>160682.37445261105</v>
      </c>
      <c r="BQ25" s="36">
        <f t="shared" ref="BQ25:EB25" si="118">BP25*(1+$BR31)</f>
        <v>157468.72696355882</v>
      </c>
      <c r="BR25" s="36">
        <f t="shared" si="118"/>
        <v>154319.35242428764</v>
      </c>
      <c r="BS25" s="36">
        <f t="shared" si="118"/>
        <v>151232.9653758019</v>
      </c>
      <c r="BT25" s="36">
        <f t="shared" si="118"/>
        <v>148208.30606828586</v>
      </c>
      <c r="BU25" s="36">
        <f t="shared" si="118"/>
        <v>145244.13994692016</v>
      </c>
      <c r="BV25" s="36">
        <f t="shared" si="118"/>
        <v>142339.25714798176</v>
      </c>
      <c r="BW25" s="36">
        <f t="shared" si="118"/>
        <v>139492.47200502211</v>
      </c>
      <c r="BX25" s="36">
        <f t="shared" si="118"/>
        <v>136702.62256492165</v>
      </c>
      <c r="BY25" s="36">
        <f t="shared" si="118"/>
        <v>133968.57011362322</v>
      </c>
      <c r="BZ25" s="36">
        <f t="shared" si="118"/>
        <v>131289.19871135076</v>
      </c>
      <c r="CA25" s="36">
        <f t="shared" si="118"/>
        <v>128663.41473712375</v>
      </c>
      <c r="CB25" s="36">
        <f t="shared" si="118"/>
        <v>126090.14644238127</v>
      </c>
      <c r="CC25" s="36">
        <f t="shared" si="118"/>
        <v>123568.34351353365</v>
      </c>
      <c r="CD25" s="36">
        <f t="shared" si="118"/>
        <v>121096.97664326297</v>
      </c>
      <c r="CE25" s="36">
        <f t="shared" si="118"/>
        <v>118675.03711039771</v>
      </c>
      <c r="CF25" s="36">
        <f t="shared" si="118"/>
        <v>116301.53636818976</v>
      </c>
      <c r="CG25" s="36">
        <f t="shared" si="118"/>
        <v>113975.50564082596</v>
      </c>
      <c r="CH25" s="36">
        <f t="shared" si="118"/>
        <v>111695.99552800943</v>
      </c>
      <c r="CI25" s="36">
        <f t="shared" si="118"/>
        <v>109462.07561744924</v>
      </c>
      <c r="CJ25" s="36">
        <f t="shared" si="118"/>
        <v>107272.83410510025</v>
      </c>
      <c r="CK25" s="36">
        <f t="shared" si="118"/>
        <v>105127.37742299824</v>
      </c>
      <c r="CL25" s="36">
        <f t="shared" si="118"/>
        <v>103024.82987453826</v>
      </c>
      <c r="CM25" s="36">
        <f t="shared" si="118"/>
        <v>100964.3332770475</v>
      </c>
      <c r="CN25" s="36">
        <f t="shared" si="118"/>
        <v>98945.04661150655</v>
      </c>
      <c r="CO25" s="36">
        <f t="shared" si="118"/>
        <v>96966.145679276422</v>
      </c>
      <c r="CP25" s="36">
        <f t="shared" si="118"/>
        <v>95026.822765690886</v>
      </c>
      <c r="CQ25" s="36">
        <f t="shared" si="118"/>
        <v>93126.286310377065</v>
      </c>
      <c r="CR25" s="36">
        <f t="shared" si="118"/>
        <v>91263.760584169519</v>
      </c>
      <c r="CS25" s="36">
        <f t="shared" si="118"/>
        <v>89438.485372486131</v>
      </c>
      <c r="CT25" s="36">
        <f t="shared" si="118"/>
        <v>87649.715665036405</v>
      </c>
      <c r="CU25" s="36">
        <f t="shared" si="118"/>
        <v>85896.721351735672</v>
      </c>
      <c r="CV25" s="36">
        <f t="shared" si="118"/>
        <v>84178.786924700951</v>
      </c>
      <c r="CW25" s="36">
        <f t="shared" si="118"/>
        <v>82495.211186206929</v>
      </c>
      <c r="CX25" s="36">
        <f t="shared" si="118"/>
        <v>80845.306962482791</v>
      </c>
      <c r="CY25" s="36">
        <f t="shared" si="118"/>
        <v>79228.40082323314</v>
      </c>
      <c r="CZ25" s="36">
        <f t="shared" si="118"/>
        <v>77643.832806768478</v>
      </c>
      <c r="DA25" s="36">
        <f t="shared" si="118"/>
        <v>76090.956150633108</v>
      </c>
      <c r="DB25" s="36">
        <f t="shared" si="118"/>
        <v>74569.13702762044</v>
      </c>
      <c r="DC25" s="36">
        <f t="shared" si="118"/>
        <v>73077.754287068034</v>
      </c>
      <c r="DD25" s="36">
        <f t="shared" si="118"/>
        <v>71616.199201326672</v>
      </c>
      <c r="DE25" s="36">
        <f t="shared" si="118"/>
        <v>70183.875217300141</v>
      </c>
      <c r="DF25" s="36">
        <f t="shared" si="118"/>
        <v>68780.197712954134</v>
      </c>
      <c r="DG25" s="36">
        <f t="shared" si="118"/>
        <v>67404.593758695046</v>
      </c>
      <c r="DH25" s="36">
        <f t="shared" si="118"/>
        <v>66056.501883521138</v>
      </c>
      <c r="DI25" s="36">
        <f t="shared" si="118"/>
        <v>64735.371845850714</v>
      </c>
      <c r="DJ25" s="36">
        <f t="shared" si="118"/>
        <v>63440.664408933699</v>
      </c>
      <c r="DK25" s="36">
        <f t="shared" si="118"/>
        <v>62171.851120755025</v>
      </c>
      <c r="DL25" s="36">
        <f t="shared" si="118"/>
        <v>60928.414098339927</v>
      </c>
      <c r="DM25" s="36">
        <f t="shared" si="118"/>
        <v>59709.845816373127</v>
      </c>
      <c r="DN25" s="36">
        <f t="shared" si="118"/>
        <v>58515.648900045664</v>
      </c>
      <c r="DO25" s="36">
        <f t="shared" si="118"/>
        <v>57345.335922044753</v>
      </c>
      <c r="DP25" s="36">
        <f t="shared" si="118"/>
        <v>56198.429203603853</v>
      </c>
      <c r="DQ25" s="36">
        <f t="shared" si="118"/>
        <v>55074.460619531776</v>
      </c>
      <c r="DR25" s="36">
        <f t="shared" si="118"/>
        <v>53972.971407141136</v>
      </c>
      <c r="DS25" s="36">
        <f t="shared" si="118"/>
        <v>52893.511978998315</v>
      </c>
      <c r="DT25" s="36">
        <f t="shared" si="118"/>
        <v>51835.641739418345</v>
      </c>
      <c r="DU25" s="36">
        <f t="shared" si="118"/>
        <v>50798.928904629975</v>
      </c>
      <c r="DV25" s="36">
        <f t="shared" si="118"/>
        <v>49782.950326537371</v>
      </c>
      <c r="DW25" s="36">
        <f t="shared" si="118"/>
        <v>48787.291320006625</v>
      </c>
      <c r="DX25" s="36">
        <f t="shared" si="118"/>
        <v>47811.545493606493</v>
      </c>
      <c r="DY25" s="36">
        <f t="shared" si="118"/>
        <v>46855.314583734362</v>
      </c>
      <c r="DZ25" s="36">
        <f t="shared" si="118"/>
        <v>45918.208292059673</v>
      </c>
      <c r="EA25" s="36">
        <f t="shared" si="118"/>
        <v>44999.844126218479</v>
      </c>
      <c r="EB25" s="36">
        <f t="shared" si="118"/>
        <v>44099.847243694108</v>
      </c>
      <c r="EC25" s="36">
        <f t="shared" ref="EC25:GN25" si="119">EB25*(1+$BR31)</f>
        <v>43217.850298820224</v>
      </c>
      <c r="ED25" s="36">
        <f t="shared" si="119"/>
        <v>42353.493292843821</v>
      </c>
      <c r="EE25" s="36">
        <f t="shared" si="119"/>
        <v>41506.423426986941</v>
      </c>
      <c r="EF25" s="36">
        <f t="shared" si="119"/>
        <v>40676.294958447201</v>
      </c>
      <c r="EG25" s="36">
        <f t="shared" si="119"/>
        <v>39862.769059278253</v>
      </c>
      <c r="EH25" s="36">
        <f t="shared" si="119"/>
        <v>39065.513678092684</v>
      </c>
      <c r="EI25" s="36">
        <f t="shared" si="119"/>
        <v>38284.203404530832</v>
      </c>
      <c r="EJ25" s="36">
        <f t="shared" si="119"/>
        <v>37518.519336440215</v>
      </c>
      <c r="EK25" s="36">
        <f t="shared" si="119"/>
        <v>36768.148949711409</v>
      </c>
      <c r="EL25" s="36">
        <f t="shared" si="119"/>
        <v>36032.785970717181</v>
      </c>
      <c r="EM25" s="36">
        <f t="shared" si="119"/>
        <v>35312.130251302835</v>
      </c>
      <c r="EN25" s="36">
        <f t="shared" si="119"/>
        <v>34605.88764627678</v>
      </c>
      <c r="EO25" s="36">
        <f t="shared" si="119"/>
        <v>33913.769893351244</v>
      </c>
      <c r="EP25" s="36">
        <f t="shared" si="119"/>
        <v>33235.494495484221</v>
      </c>
      <c r="EQ25" s="36">
        <f t="shared" si="119"/>
        <v>32570.784605574536</v>
      </c>
      <c r="ER25" s="36">
        <f t="shared" si="119"/>
        <v>31919.368913463044</v>
      </c>
      <c r="ES25" s="36">
        <f t="shared" si="119"/>
        <v>31280.981535193783</v>
      </c>
      <c r="ET25" s="36">
        <f t="shared" si="119"/>
        <v>30655.361904489906</v>
      </c>
      <c r="EU25" s="36">
        <f t="shared" si="119"/>
        <v>30042.254666400106</v>
      </c>
      <c r="EV25" s="36">
        <f t="shared" si="119"/>
        <v>29441.409573072102</v>
      </c>
      <c r="EW25" s="36">
        <f t="shared" si="119"/>
        <v>28852.58138161066</v>
      </c>
      <c r="EX25" s="36">
        <f t="shared" si="119"/>
        <v>28275.529753978448</v>
      </c>
      <c r="EY25" s="36">
        <f t="shared" si="119"/>
        <v>27710.019158898878</v>
      </c>
      <c r="EZ25" s="36">
        <f t="shared" si="119"/>
        <v>27155.818775720902</v>
      </c>
      <c r="FA25" s="36">
        <f t="shared" si="119"/>
        <v>26612.702400206483</v>
      </c>
      <c r="FB25" s="36">
        <f t="shared" si="119"/>
        <v>26080.448352202351</v>
      </c>
      <c r="FC25" s="36">
        <f t="shared" si="119"/>
        <v>25558.839385158302</v>
      </c>
      <c r="FD25" s="36">
        <f t="shared" si="119"/>
        <v>25047.662597455135</v>
      </c>
      <c r="FE25" s="36">
        <f t="shared" si="119"/>
        <v>24546.709345506031</v>
      </c>
      <c r="FF25" s="36">
        <f t="shared" si="119"/>
        <v>24055.775158595909</v>
      </c>
      <c r="FG25" s="36">
        <f t="shared" si="119"/>
        <v>23574.659655423991</v>
      </c>
      <c r="FH25" s="36">
        <f t="shared" si="119"/>
        <v>23103.166462315512</v>
      </c>
      <c r="FI25" s="36">
        <f t="shared" si="119"/>
        <v>22641.103133069202</v>
      </c>
      <c r="FJ25" s="36">
        <f t="shared" si="119"/>
        <v>22188.281070407818</v>
      </c>
      <c r="FK25" s="36">
        <f t="shared" si="119"/>
        <v>21744.51544899966</v>
      </c>
      <c r="FL25" s="36">
        <f t="shared" si="119"/>
        <v>21309.625140019667</v>
      </c>
      <c r="FM25" s="36">
        <f t="shared" si="119"/>
        <v>20883.432637219274</v>
      </c>
      <c r="FN25" s="36">
        <f t="shared" si="119"/>
        <v>20465.763984474888</v>
      </c>
      <c r="FO25" s="36">
        <f t="shared" si="119"/>
        <v>20056.448704785391</v>
      </c>
      <c r="FP25" s="36">
        <f t="shared" si="119"/>
        <v>19655.319730689684</v>
      </c>
      <c r="FQ25" s="36">
        <f t="shared" si="119"/>
        <v>19262.213336075889</v>
      </c>
      <c r="FR25" s="36">
        <f t="shared" si="119"/>
        <v>18876.969069354371</v>
      </c>
      <c r="FS25" s="36">
        <f t="shared" si="119"/>
        <v>18499.429687967284</v>
      </c>
      <c r="FT25" s="36">
        <f t="shared" si="119"/>
        <v>18129.441094207938</v>
      </c>
      <c r="FU25" s="36">
        <f t="shared" si="119"/>
        <v>17766.85227232378</v>
      </c>
      <c r="FV25" s="36">
        <f t="shared" si="119"/>
        <v>17411.515226877305</v>
      </c>
      <c r="FW25" s="36">
        <f t="shared" si="119"/>
        <v>17063.284922339761</v>
      </c>
      <c r="FX25" s="36">
        <f t="shared" si="119"/>
        <v>16722.019223892967</v>
      </c>
      <c r="FY25" s="36">
        <f t="shared" si="119"/>
        <v>16387.578839415106</v>
      </c>
      <c r="FZ25" s="36">
        <f t="shared" si="119"/>
        <v>16059.827262626803</v>
      </c>
      <c r="GA25" s="36">
        <f t="shared" si="119"/>
        <v>15738.630717374266</v>
      </c>
      <c r="GB25" s="36">
        <f t="shared" si="119"/>
        <v>15423.858103026781</v>
      </c>
      <c r="GC25" s="36">
        <f t="shared" si="119"/>
        <v>15115.380940966246</v>
      </c>
      <c r="GD25" s="36">
        <f t="shared" si="119"/>
        <v>14813.073322146922</v>
      </c>
      <c r="GE25" s="36">
        <f t="shared" si="119"/>
        <v>14516.811855703983</v>
      </c>
      <c r="GF25" s="36">
        <f t="shared" si="119"/>
        <v>14226.475618589904</v>
      </c>
      <c r="GG25" s="36">
        <f t="shared" si="119"/>
        <v>13941.946106218105</v>
      </c>
      <c r="GH25" s="36">
        <f t="shared" si="119"/>
        <v>13663.107184093744</v>
      </c>
      <c r="GI25" s="36">
        <f t="shared" si="119"/>
        <v>13389.845040411868</v>
      </c>
      <c r="GJ25" s="36">
        <f t="shared" si="119"/>
        <v>13122.04813960363</v>
      </c>
      <c r="GK25" s="36">
        <f t="shared" si="119"/>
        <v>12859.607176811558</v>
      </c>
      <c r="GL25" s="36">
        <f t="shared" si="119"/>
        <v>12602.415033275327</v>
      </c>
      <c r="GM25" s="36">
        <f t="shared" si="119"/>
        <v>12350.36673260982</v>
      </c>
      <c r="GN25" s="36">
        <f t="shared" si="119"/>
        <v>12103.359397957624</v>
      </c>
    </row>
    <row r="26" spans="1:196" ht="15.6" thickTop="1" x14ac:dyDescent="0.25">
      <c r="A26" s="27" t="s">
        <v>39</v>
      </c>
      <c r="B26" s="38">
        <f t="shared" ref="B26" si="120">B25/B27</f>
        <v>2.071632329635499</v>
      </c>
      <c r="C26" s="38">
        <f t="shared" ref="C26:D26" si="121">C25/C27</f>
        <v>1.6604677279171842</v>
      </c>
      <c r="D26" s="38">
        <f t="shared" si="121"/>
        <v>1.2802379378717779</v>
      </c>
      <c r="E26" s="38">
        <f t="shared" ref="E26:F26" si="122">E25/E27</f>
        <v>1.4177829872739451</v>
      </c>
      <c r="F26" s="38">
        <f t="shared" si="122"/>
        <v>3.0642638558313497</v>
      </c>
      <c r="G26" s="38">
        <f t="shared" ref="G26:H26" si="123">G25/G27</f>
        <v>2.3254498714652958</v>
      </c>
      <c r="H26" s="38">
        <f t="shared" si="123"/>
        <v>1.8494716785033778</v>
      </c>
      <c r="I26" s="38">
        <f t="shared" ref="I26:O26" si="124">I25/I27</f>
        <v>3.2821963061214277</v>
      </c>
      <c r="J26" s="38">
        <f t="shared" si="124"/>
        <v>1.8978914202530064</v>
      </c>
      <c r="K26" s="38">
        <f t="shared" si="124"/>
        <v>1.4062320418083603</v>
      </c>
      <c r="L26" s="38">
        <f t="shared" si="124"/>
        <v>1.6570062511351693</v>
      </c>
      <c r="M26" s="38">
        <f t="shared" si="124"/>
        <v>3.3579235716249736</v>
      </c>
      <c r="N26" s="38">
        <f t="shared" si="124"/>
        <v>2.0960953975226202</v>
      </c>
      <c r="O26" s="38">
        <f t="shared" si="124"/>
        <v>1.4245042876738536</v>
      </c>
      <c r="P26" s="38">
        <f t="shared" ref="P26:AJ26" si="125">P25/P27</f>
        <v>2.2154764597771539</v>
      </c>
      <c r="Q26" s="38">
        <f t="shared" si="125"/>
        <v>3.8902343194862445</v>
      </c>
      <c r="R26" s="38">
        <f t="shared" si="125"/>
        <v>2.7270433243175041</v>
      </c>
      <c r="S26" s="38">
        <f t="shared" si="125"/>
        <v>2.3381193839413679</v>
      </c>
      <c r="T26" s="38">
        <f t="shared" si="125"/>
        <v>3.7927173187624508</v>
      </c>
      <c r="U26" s="38">
        <f t="shared" si="125"/>
        <v>3.8708461594090644</v>
      </c>
      <c r="V26" s="38">
        <f t="shared" si="125"/>
        <v>2.4594491906006111</v>
      </c>
      <c r="W26" s="38">
        <f t="shared" si="125"/>
        <v>2.1828234138454117</v>
      </c>
      <c r="X26" s="38">
        <f t="shared" si="125"/>
        <v>2.9503671073216471</v>
      </c>
      <c r="Y26" s="38">
        <f t="shared" si="125"/>
        <v>4.9916894969788554</v>
      </c>
      <c r="Z26" s="38">
        <f t="shared" si="125"/>
        <v>2.5538681374016932</v>
      </c>
      <c r="AA26" s="38">
        <f t="shared" si="125"/>
        <v>0.64601300384622584</v>
      </c>
      <c r="AB26" s="38">
        <f t="shared" si="125"/>
        <v>0.72300577799883092</v>
      </c>
      <c r="AC26" s="38">
        <f t="shared" si="125"/>
        <v>1.6802339741147556</v>
      </c>
      <c r="AD26" s="38">
        <f t="shared" si="125"/>
        <v>1.3958166966021994</v>
      </c>
      <c r="AE26" s="38">
        <f t="shared" si="125"/>
        <v>1.2956943963183782</v>
      </c>
      <c r="AF26" s="38">
        <f t="shared" si="125"/>
        <v>1.2185649987408773</v>
      </c>
      <c r="AG26" s="38">
        <f t="shared" si="125"/>
        <v>2.0963369432743812</v>
      </c>
      <c r="AH26" s="38">
        <f t="shared" si="125"/>
        <v>1.5246917147727936</v>
      </c>
      <c r="AI26" s="38">
        <f t="shared" si="125"/>
        <v>1.1955329791418789</v>
      </c>
      <c r="AJ26" s="38">
        <f t="shared" si="125"/>
        <v>-2.0142327928540675</v>
      </c>
      <c r="AK26" s="38">
        <f>AK25/AK27</f>
        <v>1.8800783518485347</v>
      </c>
      <c r="AL26" s="38">
        <f t="shared" ref="AL26:AS26" si="126">AL25/AL27</f>
        <v>1.5245739743359175</v>
      </c>
      <c r="AM26" s="38">
        <f t="shared" si="126"/>
        <v>1.2602835837746269</v>
      </c>
      <c r="AN26" s="38">
        <f t="shared" si="126"/>
        <v>1.4517585307414422</v>
      </c>
      <c r="AO26" s="38">
        <f t="shared" si="126"/>
        <v>2.1773628858750742</v>
      </c>
      <c r="AP26" s="38">
        <f t="shared" si="126"/>
        <v>2.1931224182750544</v>
      </c>
      <c r="AQ26" s="38">
        <f t="shared" si="126"/>
        <v>2.1529867326858376</v>
      </c>
      <c r="AR26" s="38">
        <f t="shared" si="126"/>
        <v>2.1529867326858376</v>
      </c>
      <c r="AS26" s="38">
        <f t="shared" si="126"/>
        <v>2.1529867326858376</v>
      </c>
      <c r="AT26" s="38"/>
      <c r="AU26" s="38">
        <f t="shared" ref="AU26" si="127">AU25/AU27</f>
        <v>6.4530744220284548</v>
      </c>
      <c r="AV26" s="38">
        <f t="shared" ref="AV26:BO26" si="128">AV25/AV27</f>
        <v>9.216876236067618</v>
      </c>
      <c r="AW26" s="38">
        <f t="shared" si="128"/>
        <v>8.3063028961611227</v>
      </c>
      <c r="AX26" s="38">
        <f t="shared" si="128"/>
        <v>9.2067470826545037</v>
      </c>
      <c r="AY26" s="38">
        <f t="shared" si="128"/>
        <v>16.130420443544672</v>
      </c>
      <c r="AZ26" s="38">
        <f t="shared" si="128"/>
        <v>2.9730607441492634</v>
      </c>
      <c r="BA26" s="38">
        <f t="shared" si="128"/>
        <v>3.2753479618630856</v>
      </c>
      <c r="BB26" s="38">
        <f t="shared" si="128"/>
        <v>5.6140204408927188</v>
      </c>
      <c r="BC26" s="38">
        <f t="shared" si="128"/>
        <v>6.1132002014722815</v>
      </c>
      <c r="BD26" s="38">
        <f t="shared" si="128"/>
        <v>6.1340529138031972</v>
      </c>
      <c r="BE26" s="38">
        <f t="shared" si="128"/>
        <v>6.5352231690571738</v>
      </c>
      <c r="BF26" s="38">
        <f t="shared" si="128"/>
        <v>6.6361193815191424</v>
      </c>
      <c r="BG26" s="38">
        <f t="shared" si="128"/>
        <v>6.8435235334053246</v>
      </c>
      <c r="BH26" s="38">
        <f t="shared" si="128"/>
        <v>7.0529610593296068</v>
      </c>
      <c r="BI26" s="38">
        <f t="shared" si="128"/>
        <v>7.2644518943315752</v>
      </c>
      <c r="BJ26" s="38">
        <f t="shared" si="128"/>
        <v>7.4780161688923901</v>
      </c>
      <c r="BK26" s="38">
        <f t="shared" si="128"/>
        <v>7.6936742108508573</v>
      </c>
      <c r="BL26" s="38">
        <f t="shared" si="128"/>
        <v>7.9114465473383282</v>
      </c>
      <c r="BM26" s="38">
        <f t="shared" si="128"/>
        <v>8.1313539067325404</v>
      </c>
      <c r="BN26" s="38">
        <f t="shared" si="128"/>
        <v>8.3534172206306181</v>
      </c>
      <c r="BO26" s="38">
        <f t="shared" si="128"/>
        <v>8.5776576258414234</v>
      </c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</row>
    <row r="27" spans="1:196" s="25" customFormat="1" ht="15" x14ac:dyDescent="0.25">
      <c r="A27" s="24" t="s">
        <v>40</v>
      </c>
      <c r="B27" s="25">
        <v>6310</v>
      </c>
      <c r="C27" s="25">
        <v>6156.6989999999996</v>
      </c>
      <c r="D27" s="25">
        <v>6052</v>
      </c>
      <c r="E27" s="25">
        <v>5972</v>
      </c>
      <c r="F27" s="25">
        <v>5882</v>
      </c>
      <c r="G27" s="25">
        <v>5835</v>
      </c>
      <c r="H27" s="25">
        <v>5773</v>
      </c>
      <c r="I27" s="25">
        <v>5594.12</v>
      </c>
      <c r="J27" s="25">
        <v>5540.8860000000004</v>
      </c>
      <c r="K27" s="25">
        <v>5472.7809999999999</v>
      </c>
      <c r="L27" s="25">
        <v>5500.2809999999999</v>
      </c>
      <c r="M27" s="25">
        <v>5327.9949999999999</v>
      </c>
      <c r="N27" s="25">
        <v>5261.6880000000001</v>
      </c>
      <c r="O27" s="25">
        <v>5472.7809999999999</v>
      </c>
      <c r="P27" s="25">
        <v>5251.692</v>
      </c>
      <c r="Q27" s="25">
        <v>5157.7870000000003</v>
      </c>
      <c r="R27" s="25">
        <v>5068.4930000000004</v>
      </c>
      <c r="S27" s="25">
        <v>4926.6090000000004</v>
      </c>
      <c r="T27" s="25">
        <v>5000.1090000000004</v>
      </c>
      <c r="U27" s="25">
        <v>5157.7870000000003</v>
      </c>
      <c r="V27" s="25">
        <v>4700.6459999999997</v>
      </c>
      <c r="W27" s="25">
        <v>4601.38</v>
      </c>
      <c r="X27" s="25">
        <v>4648.9129999999996</v>
      </c>
      <c r="Y27" s="25">
        <v>4454.6040000000003</v>
      </c>
      <c r="Z27" s="25">
        <v>4404.6909999999998</v>
      </c>
      <c r="AA27" s="25">
        <v>17419.153999999999</v>
      </c>
      <c r="AB27" s="25">
        <v>17528.214</v>
      </c>
      <c r="AC27" s="25">
        <v>17113.687999999998</v>
      </c>
      <c r="AD27" s="25">
        <v>16929.156999999999</v>
      </c>
      <c r="AE27" s="25">
        <v>16781.735000000001</v>
      </c>
      <c r="AF27" s="25">
        <v>16864.919000000002</v>
      </c>
      <c r="AG27" s="25">
        <v>16519.291000000001</v>
      </c>
      <c r="AH27" s="25">
        <v>16403.315999999999</v>
      </c>
      <c r="AI27" s="25">
        <v>16262.203</v>
      </c>
      <c r="AJ27" s="25">
        <v>16325.819</v>
      </c>
      <c r="AK27" s="25">
        <v>15955.718000000001</v>
      </c>
      <c r="AL27" s="25">
        <v>15847.05</v>
      </c>
      <c r="AM27" s="25">
        <v>15775.021000000001</v>
      </c>
      <c r="AN27" s="25">
        <v>15812.547</v>
      </c>
      <c r="AO27" s="25">
        <v>15576.641</v>
      </c>
      <c r="AP27" s="25">
        <v>15464.709000000001</v>
      </c>
      <c r="AQ27" s="25">
        <v>15753</v>
      </c>
      <c r="AR27" s="25">
        <v>15753</v>
      </c>
      <c r="AS27" s="25">
        <v>15753</v>
      </c>
      <c r="AU27" s="25">
        <v>6122.6629999999996</v>
      </c>
      <c r="AV27" s="25">
        <v>5793.0690000000004</v>
      </c>
      <c r="AW27" s="25">
        <v>5500.2809999999999</v>
      </c>
      <c r="AX27" s="25">
        <v>5251.692</v>
      </c>
      <c r="AY27" s="25">
        <v>5251.692</v>
      </c>
      <c r="AZ27" s="25">
        <v>18595.651000000002</v>
      </c>
      <c r="BA27" s="25">
        <v>17528.214</v>
      </c>
      <c r="BB27" s="25">
        <v>16864.919000000002</v>
      </c>
      <c r="BC27" s="25">
        <v>16325.819</v>
      </c>
      <c r="BD27" s="25">
        <v>15812.547</v>
      </c>
      <c r="BE27" s="25">
        <f>AVERAGE(AP27:AS27)</f>
        <v>15680.927250000001</v>
      </c>
      <c r="BF27" s="25">
        <f>BE27*1.02</f>
        <v>15994.545795000002</v>
      </c>
      <c r="BG27" s="25">
        <f t="shared" ref="BG27:BO27" si="129">BF27*1.02</f>
        <v>16314.436710900001</v>
      </c>
      <c r="BH27" s="25">
        <f t="shared" si="129"/>
        <v>16640.725445118002</v>
      </c>
      <c r="BI27" s="25">
        <f t="shared" si="129"/>
        <v>16973.539954020362</v>
      </c>
      <c r="BJ27" s="25">
        <f t="shared" si="129"/>
        <v>17313.010753100771</v>
      </c>
      <c r="BK27" s="25">
        <f t="shared" si="129"/>
        <v>17659.270968162786</v>
      </c>
      <c r="BL27" s="25">
        <f t="shared" si="129"/>
        <v>18012.456387526043</v>
      </c>
      <c r="BM27" s="25">
        <f t="shared" si="129"/>
        <v>18372.705515276564</v>
      </c>
      <c r="BN27" s="25">
        <f t="shared" si="129"/>
        <v>18740.159625582095</v>
      </c>
      <c r="BO27" s="25">
        <f t="shared" si="129"/>
        <v>19114.962818093736</v>
      </c>
    </row>
    <row r="28" spans="1:196" ht="15" x14ac:dyDescent="0.25">
      <c r="A28" s="27"/>
      <c r="AK28" s="25"/>
      <c r="AV28" s="39">
        <f>AV27/AU27-1</f>
        <v>-5.3831804886207091E-2</v>
      </c>
      <c r="AW28" s="39">
        <f t="shared" ref="AW28:BD28" si="130">AW27/AV27-1</f>
        <v>-5.054108625324516E-2</v>
      </c>
      <c r="AX28" s="39">
        <f t="shared" si="130"/>
        <v>-4.5195690911064346E-2</v>
      </c>
      <c r="AY28" s="39">
        <f t="shared" si="130"/>
        <v>0</v>
      </c>
      <c r="AZ28" s="39">
        <f t="shared" si="130"/>
        <v>2.5408875844204117</v>
      </c>
      <c r="BA28" s="39">
        <f t="shared" si="130"/>
        <v>-5.7402507715379358E-2</v>
      </c>
      <c r="BB28" s="39">
        <f t="shared" si="130"/>
        <v>-3.7841562180835897E-2</v>
      </c>
      <c r="BC28" s="39">
        <f t="shared" si="130"/>
        <v>-3.1965762776566042E-2</v>
      </c>
      <c r="BD28" s="39">
        <f t="shared" si="130"/>
        <v>-3.1439280320331831E-2</v>
      </c>
    </row>
    <row r="29" spans="1:196" ht="15" x14ac:dyDescent="0.25">
      <c r="A29" s="27" t="s">
        <v>31</v>
      </c>
    </row>
    <row r="30" spans="1:196" ht="15" x14ac:dyDescent="0.25">
      <c r="A30" s="27"/>
    </row>
    <row r="31" spans="1:196" s="41" customFormat="1" ht="18" x14ac:dyDescent="0.35">
      <c r="A31" s="40" t="s">
        <v>29</v>
      </c>
      <c r="B31" s="41">
        <f>B17/B15</f>
        <v>0.37931034482758619</v>
      </c>
      <c r="C31" s="41">
        <f t="shared" ref="C31:D31" si="131">C17/C15</f>
        <v>0.39317793453971872</v>
      </c>
      <c r="D31" s="41">
        <f t="shared" si="131"/>
        <v>0.39364714682624491</v>
      </c>
      <c r="E31" s="41">
        <f t="shared" ref="E31:F31" si="132">E17/E15</f>
        <v>0.38005365239892697</v>
      </c>
      <c r="F31" s="41">
        <f t="shared" si="132"/>
        <v>0.39867826646469789</v>
      </c>
      <c r="G31" s="41">
        <f t="shared" ref="G31:H31" si="133">G17/G15</f>
        <v>0.40779176004137219</v>
      </c>
      <c r="H31" s="41">
        <f t="shared" si="133"/>
        <v>0.3967543594395726</v>
      </c>
      <c r="I31" s="41">
        <f t="shared" ref="I31:O31" si="134">I17/I15</f>
        <v>0.40097796288485871</v>
      </c>
      <c r="J31" s="41">
        <f t="shared" si="134"/>
        <v>0.39403050022746605</v>
      </c>
      <c r="K31" s="41">
        <f t="shared" si="134"/>
        <v>0.38023513858066954</v>
      </c>
      <c r="L31" s="41">
        <f>L17/L15</f>
        <v>0.38019721676769402</v>
      </c>
      <c r="M31" s="41">
        <f t="shared" si="134"/>
        <v>0.38513867085295656</v>
      </c>
      <c r="N31" s="41">
        <f t="shared" si="134"/>
        <v>0.38927329098608593</v>
      </c>
      <c r="O31" s="41">
        <f t="shared" si="134"/>
        <v>0.38023513858066954</v>
      </c>
      <c r="P31" s="41">
        <f t="shared" ref="P31:Q31" si="135">P17/P15</f>
        <v>0.38312750543781121</v>
      </c>
      <c r="Q31" s="41">
        <f t="shared" si="135"/>
        <v>0.38408480853521798</v>
      </c>
      <c r="R31" s="41">
        <f t="shared" ref="R31" si="136">R17/R15</f>
        <v>0.38310679294044525</v>
      </c>
      <c r="S31" s="41">
        <f t="shared" ref="S31" si="137">S17/S15</f>
        <v>0.38338496198254013</v>
      </c>
      <c r="T31" s="41">
        <f t="shared" ref="T31" si="138">T17/T15</f>
        <v>0.38289348171701115</v>
      </c>
      <c r="U31" s="41">
        <f t="shared" ref="U31" si="139">U17/U15</f>
        <v>0.37991934527339583</v>
      </c>
      <c r="V31" s="41">
        <f t="shared" ref="V31:AJ31" si="140">V17/V15</f>
        <v>0.37612686374213566</v>
      </c>
      <c r="W31" s="41">
        <f t="shared" si="140"/>
        <v>0.37590365923916075</v>
      </c>
      <c r="X31" s="41">
        <f t="shared" si="140"/>
        <v>0.38012179887570269</v>
      </c>
      <c r="Y31" s="41">
        <f t="shared" si="140"/>
        <v>0.38354806739345887</v>
      </c>
      <c r="Z31" s="41">
        <f t="shared" si="140"/>
        <v>0.38361943305952362</v>
      </c>
      <c r="AA31" s="41">
        <f t="shared" si="140"/>
        <v>0.37999497361146017</v>
      </c>
      <c r="AB31" s="41">
        <f t="shared" si="140"/>
        <v>0.38160375900336951</v>
      </c>
      <c r="AC31" s="41">
        <f t="shared" si="140"/>
        <v>0.39777815665969724</v>
      </c>
      <c r="AD31" s="41">
        <f t="shared" si="140"/>
        <v>0.42506474370423292</v>
      </c>
      <c r="AE31" s="41">
        <f t="shared" si="140"/>
        <v>0.43292727853230839</v>
      </c>
      <c r="AF31" s="41">
        <f t="shared" si="140"/>
        <v>0.42195297504798462</v>
      </c>
      <c r="AG31" s="41">
        <f t="shared" si="140"/>
        <v>0.43763766186615033</v>
      </c>
      <c r="AH31" s="41">
        <f t="shared" si="140"/>
        <v>0.43749871502292398</v>
      </c>
      <c r="AI31" s="41">
        <f t="shared" si="140"/>
        <v>0.43256307332537758</v>
      </c>
      <c r="AJ31" s="41">
        <f t="shared" si="140"/>
        <v>0.4225922392563175</v>
      </c>
      <c r="AK31" s="41">
        <f t="shared" ref="AK31:AP31" si="141">AK17/AK15</f>
        <v>0.42962254809908323</v>
      </c>
      <c r="AL31" s="41">
        <f t="shared" si="141"/>
        <v>0.44261672782487665</v>
      </c>
      <c r="AM31" s="41">
        <f t="shared" si="141"/>
        <v>0.44516302553883397</v>
      </c>
      <c r="AN31" s="41">
        <f t="shared" si="141"/>
        <v>0.45170841806520817</v>
      </c>
      <c r="AO31" s="41">
        <f t="shared" si="141"/>
        <v>0.45874973865774621</v>
      </c>
      <c r="AP31" s="41">
        <f t="shared" si="141"/>
        <v>0.46578074554009236</v>
      </c>
      <c r="AQ31" s="41">
        <f t="shared" ref="AQ31" si="142">AQ17/AQ15</f>
        <v>0.42999999999999994</v>
      </c>
      <c r="AR31" s="41">
        <f t="shared" ref="AR31:AS31" si="143">AR17/AR15</f>
        <v>0.45999999999999996</v>
      </c>
      <c r="AS31" s="41">
        <f t="shared" si="143"/>
        <v>0.43</v>
      </c>
      <c r="AU31" s="41">
        <f t="shared" ref="AU31" si="144">AU17/AU15</f>
        <v>0.38588035777783858</v>
      </c>
      <c r="AV31" s="41">
        <f t="shared" ref="AV31:BO31" si="145">AV17/AV15</f>
        <v>0.40059902017414373</v>
      </c>
      <c r="AW31" s="41">
        <f t="shared" si="145"/>
        <v>0.39075955648097049</v>
      </c>
      <c r="AX31" s="41">
        <f t="shared" si="145"/>
        <v>0.38469860491899105</v>
      </c>
      <c r="AY31" s="41">
        <f t="shared" si="145"/>
        <v>0.46893578568873662</v>
      </c>
      <c r="AZ31" s="41">
        <f t="shared" si="145"/>
        <v>0.37829298853843968</v>
      </c>
      <c r="BA31" s="41">
        <f t="shared" si="145"/>
        <v>0.38233247727810865</v>
      </c>
      <c r="BB31" s="41">
        <f t="shared" si="145"/>
        <v>0.41779359625167778</v>
      </c>
      <c r="BC31" s="41">
        <f t="shared" si="145"/>
        <v>0.43309630561360085</v>
      </c>
      <c r="BD31" s="41">
        <f t="shared" si="145"/>
        <v>0.44131129577207562</v>
      </c>
      <c r="BE31" s="41">
        <f t="shared" si="145"/>
        <v>0.45442447298593791</v>
      </c>
      <c r="BF31" s="41">
        <f t="shared" si="145"/>
        <v>0.45442447298593786</v>
      </c>
      <c r="BG31" s="41">
        <f t="shared" si="145"/>
        <v>0.45972132276277339</v>
      </c>
      <c r="BH31" s="41">
        <f t="shared" si="145"/>
        <v>0.46496674681362027</v>
      </c>
      <c r="BI31" s="41">
        <f t="shared" si="145"/>
        <v>0.47016124441737156</v>
      </c>
      <c r="BJ31" s="41">
        <f t="shared" si="145"/>
        <v>0.47530531000555243</v>
      </c>
      <c r="BK31" s="41">
        <f t="shared" si="145"/>
        <v>0.48039943320938194</v>
      </c>
      <c r="BL31" s="41">
        <f t="shared" si="145"/>
        <v>0.48544409890637824</v>
      </c>
      <c r="BM31" s="41">
        <f t="shared" si="145"/>
        <v>0.49043978726651044</v>
      </c>
      <c r="BN31" s="41">
        <f t="shared" si="145"/>
        <v>0.49538697379790353</v>
      </c>
      <c r="BO31" s="41">
        <f t="shared" si="145"/>
        <v>0.50028612939209871</v>
      </c>
      <c r="BQ31" s="42" t="s">
        <v>115</v>
      </c>
      <c r="BR31" s="43">
        <v>-0.02</v>
      </c>
    </row>
    <row r="32" spans="1:196" s="45" customFormat="1" ht="18" x14ac:dyDescent="0.35">
      <c r="A32" s="44" t="s">
        <v>30</v>
      </c>
      <c r="B32" s="45">
        <f>B21/B15</f>
        <v>0.30320866756953851</v>
      </c>
      <c r="C32" s="45">
        <f t="shared" ref="C32:D32" si="146">C21/C15</f>
        <v>0.29779170135389738</v>
      </c>
      <c r="D32" s="45">
        <f t="shared" si="146"/>
        <v>0.27468476170121819</v>
      </c>
      <c r="E32" s="45">
        <f t="shared" ref="E32:F32" si="147">E21/E15</f>
        <v>0.26505709469885813</v>
      </c>
      <c r="F32" s="45">
        <f t="shared" si="147"/>
        <v>0.32501776163219348</v>
      </c>
      <c r="G32" s="45">
        <f t="shared" ref="G32:H32" si="148">G21/G15</f>
        <v>0.31508360627478021</v>
      </c>
      <c r="H32" s="45">
        <f t="shared" si="148"/>
        <v>0.28390283237576858</v>
      </c>
      <c r="I32" s="45">
        <f t="shared" ref="I32:O32" si="149">I21/I15</f>
        <v>0.31857602277520036</v>
      </c>
      <c r="J32" s="45">
        <f t="shared" si="149"/>
        <v>0.27665802955080404</v>
      </c>
      <c r="K32" s="45">
        <f t="shared" si="149"/>
        <v>0.23856178289815383</v>
      </c>
      <c r="L32" s="45">
        <f>L21/L15</f>
        <v>0.25102450268931958</v>
      </c>
      <c r="M32" s="45">
        <f t="shared" si="149"/>
        <v>0.29813276154739571</v>
      </c>
      <c r="N32" s="45">
        <f t="shared" si="149"/>
        <v>0.2665040834845735</v>
      </c>
      <c r="O32" s="45">
        <f t="shared" si="149"/>
        <v>0.23856178289815383</v>
      </c>
      <c r="P32" s="45">
        <f t="shared" ref="P32:Q32" si="150">P21/P15</f>
        <v>0.24776645274946521</v>
      </c>
      <c r="Q32" s="45">
        <f t="shared" si="150"/>
        <v>0.29757738439060855</v>
      </c>
      <c r="R32" s="45">
        <f t="shared" ref="R32" si="151">R21/R15</f>
        <v>0.25997350213455028</v>
      </c>
      <c r="S32" s="45">
        <f t="shared" ref="S32" si="152">S21/S15</f>
        <v>0.23677837228949591</v>
      </c>
      <c r="T32" s="45">
        <f t="shared" ref="T32" si="153">T21/T15</f>
        <v>0.32141494435612084</v>
      </c>
      <c r="U32" s="45">
        <f t="shared" ref="U32" si="154">U21/U15</f>
        <v>0.27690665401494485</v>
      </c>
      <c r="V32" s="45">
        <f t="shared" ref="V32:AJ32" si="155">V21/V15</f>
        <v>0.2312333017323106</v>
      </c>
      <c r="W32" s="45">
        <f t="shared" si="155"/>
        <v>0.2145366016837332</v>
      </c>
      <c r="X32" s="45">
        <f t="shared" si="155"/>
        <v>0.24445658963148031</v>
      </c>
      <c r="Y32" s="45">
        <f t="shared" si="155"/>
        <v>0.2784717759940753</v>
      </c>
      <c r="Z32" s="45">
        <f t="shared" si="155"/>
        <v>0.22041397287054346</v>
      </c>
      <c r="AA32" s="45">
        <f t="shared" si="155"/>
        <v>0.21933484124989527</v>
      </c>
      <c r="AB32" s="45">
        <f t="shared" si="155"/>
        <v>0.2283687285542057</v>
      </c>
      <c r="AC32" s="45">
        <f t="shared" si="155"/>
        <v>0.30091799100853384</v>
      </c>
      <c r="AD32" s="45">
        <f t="shared" si="155"/>
        <v>0.30700794784782998</v>
      </c>
      <c r="AE32" s="45">
        <f t="shared" si="155"/>
        <v>0.29626445956234498</v>
      </c>
      <c r="AF32" s="45">
        <f t="shared" si="155"/>
        <v>0.28534069097888676</v>
      </c>
      <c r="AG32" s="45">
        <f t="shared" si="155"/>
        <v>0.33472911371979508</v>
      </c>
      <c r="AH32" s="45">
        <f t="shared" si="155"/>
        <v>0.30817862209338187</v>
      </c>
      <c r="AI32" s="45">
        <f t="shared" si="155"/>
        <v>0.27816150146457891</v>
      </c>
      <c r="AJ32" s="45">
        <f t="shared" si="155"/>
        <v>-0.1469837818649746</v>
      </c>
      <c r="AK32" s="45">
        <f t="shared" ref="AK32:AP32" si="156">AK21/AK15</f>
        <v>0.30742441572630896</v>
      </c>
      <c r="AL32" s="45">
        <f t="shared" si="156"/>
        <v>0.29859968788223878</v>
      </c>
      <c r="AM32" s="45">
        <f t="shared" si="156"/>
        <v>0.28115945572576012</v>
      </c>
      <c r="AN32" s="45">
        <f t="shared" si="156"/>
        <v>0.30133634271156895</v>
      </c>
      <c r="AO32" s="45">
        <f t="shared" si="156"/>
        <v>0.33763746602550698</v>
      </c>
      <c r="AP32" s="45">
        <f t="shared" si="156"/>
        <v>0.30742785362467356</v>
      </c>
      <c r="AQ32" s="45">
        <f t="shared" ref="AQ32" si="157">AQ21/AQ15</f>
        <v>0.27092767234425424</v>
      </c>
      <c r="AR32" s="45">
        <f t="shared" ref="AR32:AS32" si="158">AR21/AR15</f>
        <v>0.32301108496135494</v>
      </c>
      <c r="AS32" s="45">
        <f t="shared" si="158"/>
        <v>0.30384138267475086</v>
      </c>
      <c r="AU32" s="45">
        <f t="shared" ref="AU32" si="159">AU21/AU15</f>
        <v>0.28722339232473537</v>
      </c>
      <c r="AV32" s="45">
        <f t="shared" ref="AV32:BO32" si="160">AV21/AV15</f>
        <v>0.30477290717326661</v>
      </c>
      <c r="AW32" s="45">
        <f t="shared" si="160"/>
        <v>0.27835410106706115</v>
      </c>
      <c r="AX32" s="45">
        <f t="shared" si="160"/>
        <v>0.26760428208729942</v>
      </c>
      <c r="AY32" s="45">
        <f t="shared" si="160"/>
        <v>0.36787213614714132</v>
      </c>
      <c r="AZ32" s="45">
        <f t="shared" si="160"/>
        <v>0.24583547933306171</v>
      </c>
      <c r="BA32" s="45">
        <f t="shared" si="160"/>
        <v>0.24147314354406862</v>
      </c>
      <c r="BB32" s="45">
        <f t="shared" si="160"/>
        <v>0.29782377527561593</v>
      </c>
      <c r="BC32" s="45">
        <f t="shared" si="160"/>
        <v>0.30288744395528594</v>
      </c>
      <c r="BD32" s="45">
        <f t="shared" si="160"/>
        <v>0.29821412265024722</v>
      </c>
      <c r="BE32" s="45">
        <f t="shared" si="160"/>
        <v>0.31251234949457574</v>
      </c>
      <c r="BF32" s="45">
        <f t="shared" si="160"/>
        <v>0.31251234949457568</v>
      </c>
      <c r="BG32" s="45">
        <f t="shared" si="160"/>
        <v>0.31918698687812347</v>
      </c>
      <c r="BH32" s="45">
        <f t="shared" si="160"/>
        <v>0.32579682195697673</v>
      </c>
      <c r="BI32" s="45">
        <f t="shared" si="160"/>
        <v>0.33234248387972443</v>
      </c>
      <c r="BJ32" s="45">
        <f t="shared" si="160"/>
        <v>0.33882459568671747</v>
      </c>
      <c r="BK32" s="45">
        <f t="shared" si="160"/>
        <v>0.34524377436937065</v>
      </c>
      <c r="BL32" s="45">
        <f t="shared" si="160"/>
        <v>0.35160063092889127</v>
      </c>
      <c r="BM32" s="45">
        <f t="shared" si="160"/>
        <v>0.35789577043443599</v>
      </c>
      <c r="BN32" s="45">
        <f t="shared" si="160"/>
        <v>0.36412979208070362</v>
      </c>
      <c r="BO32" s="45">
        <f t="shared" si="160"/>
        <v>0.37030328924496864</v>
      </c>
      <c r="BQ32" s="42" t="s">
        <v>89</v>
      </c>
      <c r="BR32" s="46">
        <v>4.4499999999999998E-2</v>
      </c>
    </row>
    <row r="33" spans="1:106" s="49" customFormat="1" ht="18" x14ac:dyDescent="0.35">
      <c r="A33" s="47" t="s">
        <v>36</v>
      </c>
      <c r="B33" s="45">
        <f t="shared" ref="B33" si="161">B25/B15</f>
        <v>0.2269680869535021</v>
      </c>
      <c r="C33" s="45">
        <f t="shared" ref="C33:D33" si="162">C25/C15</f>
        <v>0.22396266923717303</v>
      </c>
      <c r="D33" s="45">
        <f t="shared" si="162"/>
        <v>0.20698867279333191</v>
      </c>
      <c r="E33" s="45">
        <f t="shared" ref="E33:F33" si="163">E25/E15</f>
        <v>0.20100657597986848</v>
      </c>
      <c r="F33" s="45">
        <f t="shared" si="163"/>
        <v>0.24161181785278624</v>
      </c>
      <c r="G33" s="45">
        <f t="shared" ref="G33:H33" si="164">G25/G15</f>
        <v>0.2339079469057059</v>
      </c>
      <c r="H33" s="45">
        <f t="shared" si="164"/>
        <v>0.21524039915331117</v>
      </c>
      <c r="I33" s="45">
        <f t="shared" ref="I33:O33" si="165">I25/I15</f>
        <v>0.24199968367777308</v>
      </c>
      <c r="J33" s="45">
        <f t="shared" si="165"/>
        <v>0.20800284827026921</v>
      </c>
      <c r="K33" s="45">
        <f t="shared" si="165"/>
        <v>0.18168940932055339</v>
      </c>
      <c r="L33" s="45">
        <f>L25/L15</f>
        <v>0.19452744813455136</v>
      </c>
      <c r="M33" s="45">
        <f t="shared" si="165"/>
        <v>0.22834424576584855</v>
      </c>
      <c r="N33" s="45">
        <f t="shared" si="165"/>
        <v>0.20850347852389595</v>
      </c>
      <c r="O33" s="45">
        <f t="shared" si="165"/>
        <v>0.18405023844374144</v>
      </c>
      <c r="P33" s="45">
        <f t="shared" ref="P33:Q33" si="166">P25/P15</f>
        <v>0.20915349907422387</v>
      </c>
      <c r="Q33" s="45">
        <f t="shared" si="166"/>
        <v>0.22725470875380835</v>
      </c>
      <c r="R33" s="45">
        <f t="shared" ref="R33" si="167">R25/R15</f>
        <v>0.22608240509020724</v>
      </c>
      <c r="S33" s="45">
        <f t="shared" ref="S33" si="168">S25/S15</f>
        <v>0.21625833098657654</v>
      </c>
      <c r="T33" s="45">
        <f t="shared" ref="T33" si="169">T25/T15</f>
        <v>0.30149443561208267</v>
      </c>
      <c r="U33" s="45">
        <f t="shared" ref="U33" si="170">U25/U15</f>
        <v>0.23680464950776894</v>
      </c>
      <c r="V33" s="45">
        <f t="shared" ref="V33:AJ33" si="171">V25/V15</f>
        <v>0.19927604929759546</v>
      </c>
      <c r="W33" s="45">
        <f t="shared" si="171"/>
        <v>0.18666022412607555</v>
      </c>
      <c r="X33" s="45">
        <f t="shared" si="171"/>
        <v>0.2141786383510306</v>
      </c>
      <c r="Y33" s="45">
        <f t="shared" si="171"/>
        <v>0.2421720994565395</v>
      </c>
      <c r="Z33" s="45">
        <f t="shared" si="171"/>
        <v>0.19290724195290929</v>
      </c>
      <c r="AA33" s="45">
        <f t="shared" si="171"/>
        <v>0.18853983412917819</v>
      </c>
      <c r="AB33" s="45">
        <f t="shared" si="171"/>
        <v>0.19587931620761073</v>
      </c>
      <c r="AC33" s="45">
        <f t="shared" si="171"/>
        <v>0.25803354301456405</v>
      </c>
      <c r="AD33" s="45">
        <f t="shared" si="171"/>
        <v>0.26377478121093051</v>
      </c>
      <c r="AE33" s="45">
        <f t="shared" si="171"/>
        <v>0.26701377802883319</v>
      </c>
      <c r="AF33" s="45">
        <f t="shared" si="171"/>
        <v>0.2465331094049904</v>
      </c>
      <c r="AG33" s="45">
        <f t="shared" si="171"/>
        <v>0.27939812013393039</v>
      </c>
      <c r="AH33" s="45">
        <f t="shared" si="171"/>
        <v>0.25709821336787353</v>
      </c>
      <c r="AI33" s="45">
        <f t="shared" si="171"/>
        <v>0.23435673043310551</v>
      </c>
      <c r="AJ33" s="45">
        <f t="shared" si="171"/>
        <v>-0.36478601379983583</v>
      </c>
      <c r="AK33" s="45">
        <f t="shared" ref="AK33:AP33" si="172">AK25/AK15</f>
        <v>0.2560561312460522</v>
      </c>
      <c r="AL33" s="45">
        <f t="shared" si="172"/>
        <v>0.25475557805052934</v>
      </c>
      <c r="AM33" s="45">
        <f t="shared" si="172"/>
        <v>0.24305292370135825</v>
      </c>
      <c r="AN33" s="45">
        <f t="shared" si="172"/>
        <v>0.25649735189613176</v>
      </c>
      <c r="AO33" s="45">
        <f t="shared" si="172"/>
        <v>0.28363788417311309</v>
      </c>
      <c r="AP33" s="45">
        <f t="shared" si="172"/>
        <v>0.37371767324496158</v>
      </c>
      <c r="AQ33" s="45">
        <f t="shared" ref="AQ33" si="173">AQ25/AQ15</f>
        <v>0.40216899476498486</v>
      </c>
      <c r="AR33" s="45">
        <f t="shared" ref="AR33:AS33" si="174">AR25/AR15</f>
        <v>0.36935496004854801</v>
      </c>
      <c r="AS33" s="45">
        <f t="shared" si="174"/>
        <v>0.29545612934699284</v>
      </c>
      <c r="AT33" s="45"/>
      <c r="AU33" s="45">
        <f t="shared" ref="AU33" si="175">AU25/AU15</f>
        <v>0.21614376760852322</v>
      </c>
      <c r="AV33" s="45">
        <f t="shared" ref="AV33:BO33" si="176">AV25/AV15</f>
        <v>0.22845773698735639</v>
      </c>
      <c r="AW33" s="45">
        <f t="shared" si="176"/>
        <v>0.211867983064288</v>
      </c>
      <c r="AX33" s="45">
        <f t="shared" si="176"/>
        <v>0.21092420845075338</v>
      </c>
      <c r="AY33" s="45">
        <f t="shared" si="176"/>
        <v>0.31895178749599956</v>
      </c>
      <c r="AZ33" s="45">
        <f t="shared" si="176"/>
        <v>0.21249625250793699</v>
      </c>
      <c r="BA33" s="45">
        <f t="shared" si="176"/>
        <v>0.20913611278072236</v>
      </c>
      <c r="BB33" s="45">
        <f t="shared" si="176"/>
        <v>0.25881793355694238</v>
      </c>
      <c r="BC33" s="45">
        <f t="shared" si="176"/>
        <v>0.25309640705199732</v>
      </c>
      <c r="BD33" s="45">
        <f t="shared" si="176"/>
        <v>0.25306234264320282</v>
      </c>
      <c r="BE33" s="45">
        <f t="shared" si="176"/>
        <v>0.26515436666465664</v>
      </c>
      <c r="BF33" s="45">
        <f t="shared" si="176"/>
        <v>0.26663398173601038</v>
      </c>
      <c r="BG33" s="45">
        <f t="shared" si="176"/>
        <v>0.27229772948614622</v>
      </c>
      <c r="BH33" s="45">
        <f t="shared" si="176"/>
        <v>0.27790648939404772</v>
      </c>
      <c r="BI33" s="45">
        <f t="shared" si="176"/>
        <v>0.28346079532226076</v>
      </c>
      <c r="BJ33" s="45">
        <f t="shared" si="176"/>
        <v>0.28896117595020004</v>
      </c>
      <c r="BK33" s="45">
        <f t="shared" si="176"/>
        <v>0.29440815482446991</v>
      </c>
      <c r="BL33" s="45">
        <f t="shared" si="176"/>
        <v>0.29980225040869829</v>
      </c>
      <c r="BM33" s="45">
        <f t="shared" si="176"/>
        <v>0.30514397613288569</v>
      </c>
      <c r="BN33" s="45">
        <f t="shared" si="176"/>
        <v>0.31043384044227512</v>
      </c>
      <c r="BO33" s="45">
        <f t="shared" si="176"/>
        <v>0.31567234684574824</v>
      </c>
      <c r="BP33" s="45"/>
      <c r="BQ33" s="42" t="s">
        <v>90</v>
      </c>
      <c r="BR33" s="48">
        <f>NPV(BR32,BE25:GN25)</f>
        <v>2638214.2409370542</v>
      </c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</row>
    <row r="34" spans="1:106" s="52" customFormat="1" ht="18" x14ac:dyDescent="0.35">
      <c r="A34" s="50" t="s">
        <v>38</v>
      </c>
      <c r="B34" s="51">
        <f>B24/B23</f>
        <v>0.26184425998080074</v>
      </c>
      <c r="C34" s="51">
        <f t="shared" ref="C34:D34" si="177">C24/C23</f>
        <v>0.26016789694601244</v>
      </c>
      <c r="D34" s="51">
        <f t="shared" si="177"/>
        <v>0.26096909576497518</v>
      </c>
      <c r="E34" s="51">
        <f t="shared" ref="E34:F34" si="178">E24/E23</f>
        <v>0.26194211994421202</v>
      </c>
      <c r="F34" s="51">
        <f t="shared" si="178"/>
        <v>0.26179554390563564</v>
      </c>
      <c r="G34" s="51">
        <f t="shared" ref="G34:H34" si="179">G24/G23</f>
        <v>0.26906916612798965</v>
      </c>
      <c r="H34" s="51">
        <f t="shared" si="179"/>
        <v>0.26228148967042081</v>
      </c>
      <c r="I34" s="51">
        <f t="shared" ref="I34:O34" si="180">I24/I23</f>
        <v>0.25279778618809262</v>
      </c>
      <c r="J34" s="51">
        <f t="shared" si="180"/>
        <v>0.25639937774006505</v>
      </c>
      <c r="K34" s="51">
        <f t="shared" si="180"/>
        <v>0.2577876362233581</v>
      </c>
      <c r="L34" s="51">
        <f t="shared" si="180"/>
        <v>0.25830078125</v>
      </c>
      <c r="M34" s="51">
        <f t="shared" si="180"/>
        <v>0.26009098428453264</v>
      </c>
      <c r="N34" s="51">
        <f t="shared" si="180"/>
        <v>0.24891037864342141</v>
      </c>
      <c r="O34" s="51">
        <f t="shared" si="180"/>
        <v>0.25532524596427547</v>
      </c>
      <c r="P34" s="51">
        <f t="shared" ref="P34:Q34" si="181">P24/P23</f>
        <v>0.21150718351856873</v>
      </c>
      <c r="Q34" s="51">
        <f t="shared" si="181"/>
        <v>0.25767665556788755</v>
      </c>
      <c r="R34" s="51">
        <f t="shared" ref="R34" si="182">R24/R23</f>
        <v>0.14510143493320138</v>
      </c>
      <c r="S34" s="51">
        <f t="shared" ref="S34" si="183">S24/S23</f>
        <v>0.13286660644384221</v>
      </c>
      <c r="T34" s="51">
        <f t="shared" ref="T34" si="184">T24/T23</f>
        <v>0.10799623706491063</v>
      </c>
      <c r="U34" s="51">
        <f t="shared" ref="U34" si="185">U24/U23</f>
        <v>0.16485401154521878</v>
      </c>
      <c r="V34" s="51">
        <f t="shared" ref="V34:AJ34" si="186">V24/V23</f>
        <v>0.16182121365910243</v>
      </c>
      <c r="W34" s="51">
        <f t="shared" si="186"/>
        <v>0.15674586516665268</v>
      </c>
      <c r="X34" s="51">
        <f t="shared" si="186"/>
        <v>0.15108002723277836</v>
      </c>
      <c r="Y34" s="51">
        <f t="shared" si="186"/>
        <v>0.14206343082027933</v>
      </c>
      <c r="Z34" s="51">
        <f t="shared" si="186"/>
        <v>0.14358583936048724</v>
      </c>
      <c r="AA34" s="51">
        <f t="shared" si="186"/>
        <v>0.14341173783968944</v>
      </c>
      <c r="AB34" s="51">
        <f t="shared" si="186"/>
        <v>0.14952016643178309</v>
      </c>
      <c r="AC34" s="51">
        <f t="shared" si="186"/>
        <v>0.14366121683194855</v>
      </c>
      <c r="AD34" s="51">
        <f t="shared" si="186"/>
        <v>0.1564028417407447</v>
      </c>
      <c r="AE34" s="51">
        <f t="shared" si="186"/>
        <v>0.10771882309491568</v>
      </c>
      <c r="AF34" s="51">
        <f t="shared" si="186"/>
        <v>0.11600997935306263</v>
      </c>
      <c r="AG34" s="51">
        <f t="shared" si="186"/>
        <v>0.16030164157028201</v>
      </c>
      <c r="AH34" s="51">
        <f t="shared" si="186"/>
        <v>0.17017817445834302</v>
      </c>
      <c r="AI34" s="51">
        <f t="shared" si="186"/>
        <v>0.15711436746726784</v>
      </c>
      <c r="AJ34" s="51">
        <f t="shared" si="186"/>
        <v>-1.420789163722026</v>
      </c>
      <c r="AK34" s="51">
        <f>AK24/AK23</f>
        <v>0.15790360160570419</v>
      </c>
      <c r="AL34" s="51">
        <f t="shared" ref="AL34:AP34" si="187">AL24/AL23</f>
        <v>0.14875625396377987</v>
      </c>
      <c r="AM34" s="51">
        <f t="shared" si="187"/>
        <v>0.12545638499098227</v>
      </c>
      <c r="AN34" s="51">
        <f t="shared" si="187"/>
        <v>0.14971479368842136</v>
      </c>
      <c r="AO34" s="51">
        <f t="shared" si="187"/>
        <v>0.15889194752374575</v>
      </c>
      <c r="AP34" s="51">
        <f t="shared" si="187"/>
        <v>0.1576021099151757</v>
      </c>
      <c r="AQ34" s="51">
        <f t="shared" ref="AQ34" si="188">AQ24/AQ23</f>
        <v>0.15</v>
      </c>
      <c r="AR34" s="51">
        <f t="shared" ref="AR34:AS34" si="189">AR24/AR23</f>
        <v>0.15</v>
      </c>
      <c r="AS34" s="51">
        <f t="shared" si="189"/>
        <v>0.15</v>
      </c>
      <c r="AT34" s="51"/>
      <c r="AU34" s="51">
        <f t="shared" ref="AU34" si="190">AU24/AU23</f>
        <v>0.26126058747639436</v>
      </c>
      <c r="AV34" s="51">
        <f t="shared" ref="AV34:BO34" si="191">AV24/AV23</f>
        <v>0.26368337585327173</v>
      </c>
      <c r="AW34" s="51">
        <f t="shared" si="191"/>
        <v>0.25557257381216192</v>
      </c>
      <c r="AX34" s="51">
        <f t="shared" si="191"/>
        <v>0.24556476150353415</v>
      </c>
      <c r="AY34" s="51">
        <f t="shared" si="191"/>
        <v>0.15667496266799402</v>
      </c>
      <c r="AZ34" s="51">
        <f t="shared" si="191"/>
        <v>0.1593656393023857</v>
      </c>
      <c r="BA34" s="51">
        <f t="shared" si="191"/>
        <v>0.14428164731484103</v>
      </c>
      <c r="BB34" s="51">
        <f t="shared" si="191"/>
        <v>0.13302260844085087</v>
      </c>
      <c r="BC34" s="51">
        <f t="shared" si="191"/>
        <v>0.16204461684424407</v>
      </c>
      <c r="BD34" s="51">
        <f t="shared" si="191"/>
        <v>0.14719174228036858</v>
      </c>
      <c r="BE34" s="51">
        <f t="shared" si="191"/>
        <v>0.15471685117726602</v>
      </c>
      <c r="BF34" s="51">
        <f t="shared" si="191"/>
        <v>0.15</v>
      </c>
      <c r="BG34" s="51">
        <f t="shared" si="191"/>
        <v>0.15</v>
      </c>
      <c r="BH34" s="51">
        <f t="shared" si="191"/>
        <v>0.15</v>
      </c>
      <c r="BI34" s="51">
        <f t="shared" si="191"/>
        <v>0.15</v>
      </c>
      <c r="BJ34" s="51">
        <f t="shared" si="191"/>
        <v>0.15</v>
      </c>
      <c r="BK34" s="51">
        <f t="shared" si="191"/>
        <v>0.15</v>
      </c>
      <c r="BL34" s="51">
        <f t="shared" si="191"/>
        <v>0.15</v>
      </c>
      <c r="BM34" s="51">
        <f t="shared" si="191"/>
        <v>0.15</v>
      </c>
      <c r="BN34" s="51">
        <f t="shared" si="191"/>
        <v>0.15</v>
      </c>
      <c r="BO34" s="51">
        <f t="shared" si="191"/>
        <v>0.15</v>
      </c>
      <c r="BP34" s="51"/>
      <c r="BQ34" s="42" t="s">
        <v>54</v>
      </c>
      <c r="BR34" s="48">
        <f>Main!L8</f>
        <v>-76500</v>
      </c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</row>
    <row r="35" spans="1:106" ht="17.399999999999999" x14ac:dyDescent="0.3">
      <c r="A35" s="27"/>
      <c r="BQ35" s="53" t="s">
        <v>91</v>
      </c>
      <c r="BR35" s="54">
        <f>BR33+BR34</f>
        <v>2561714.2409370542</v>
      </c>
    </row>
    <row r="36" spans="1:106" s="56" customFormat="1" ht="17.399999999999999" x14ac:dyDescent="0.3">
      <c r="A36" s="55" t="s">
        <v>41</v>
      </c>
      <c r="C36" s="57"/>
      <c r="D36" s="57"/>
      <c r="E36" s="57"/>
      <c r="F36" s="58">
        <f t="shared" ref="F36:N36" si="192">F15/B15-1</f>
        <v>0.29525645032468661</v>
      </c>
      <c r="G36" s="58">
        <f t="shared" si="192"/>
        <v>0.27086710774218981</v>
      </c>
      <c r="H36" s="58">
        <f t="shared" si="192"/>
        <v>0.32520303483650359</v>
      </c>
      <c r="I36" s="58">
        <f t="shared" si="192"/>
        <v>0.80120124397597503</v>
      </c>
      <c r="J36" s="58">
        <f t="shared" si="192"/>
        <v>-0.32228314052467188</v>
      </c>
      <c r="K36" s="58">
        <f t="shared" si="192"/>
        <v>-0.26981554904326843</v>
      </c>
      <c r="L36" s="58">
        <f t="shared" si="192"/>
        <v>-5.5498437657494182E-2</v>
      </c>
      <c r="M36" s="58">
        <f t="shared" si="192"/>
        <v>3.2673450021088124E-2</v>
      </c>
      <c r="N36" s="58">
        <f t="shared" si="192"/>
        <v>4.626461221987066E-2</v>
      </c>
      <c r="O36" s="58">
        <f t="shared" ref="O36:AS36" si="193">O15/K15-1</f>
        <v>0</v>
      </c>
      <c r="P36" s="58">
        <f t="shared" si="193"/>
        <v>0.18733458550328685</v>
      </c>
      <c r="Q36" s="58">
        <f t="shared" si="193"/>
        <v>0.12689053107171566</v>
      </c>
      <c r="R36" s="58">
        <f t="shared" si="193"/>
        <v>0.15579627949183306</v>
      </c>
      <c r="S36" s="58">
        <f t="shared" si="193"/>
        <v>0.25749563246612217</v>
      </c>
      <c r="T36" s="58">
        <f t="shared" si="193"/>
        <v>0.13070520771540028</v>
      </c>
      <c r="U36" s="58">
        <f t="shared" si="193"/>
        <v>-4.5111163965433243E-2</v>
      </c>
      <c r="V36" s="58">
        <f t="shared" si="193"/>
        <v>-5.1065639465462831E-2</v>
      </c>
      <c r="W36" s="58">
        <f t="shared" si="193"/>
        <v>1.0213085515817122E-2</v>
      </c>
      <c r="X36" s="58">
        <f t="shared" si="193"/>
        <v>1.8124006359300449E-2</v>
      </c>
      <c r="Y36" s="58">
        <f t="shared" si="193"/>
        <v>8.9064167951607098E-2</v>
      </c>
      <c r="Z36" s="58">
        <f t="shared" si="193"/>
        <v>5.1366026027750422E-3</v>
      </c>
      <c r="AA36" s="58">
        <f t="shared" si="193"/>
        <v>0.10920106301919752</v>
      </c>
      <c r="AB36" s="58">
        <f t="shared" si="193"/>
        <v>1.0274828232354816E-2</v>
      </c>
      <c r="AC36" s="58">
        <f t="shared" si="193"/>
        <v>0.21368126422635836</v>
      </c>
      <c r="AD36" s="58">
        <f t="shared" si="193"/>
        <v>0.53626121105070901</v>
      </c>
      <c r="AE36" s="58">
        <f t="shared" si="193"/>
        <v>0.36439641450950822</v>
      </c>
      <c r="AF36" s="58">
        <f t="shared" si="193"/>
        <v>0.28844786546724777</v>
      </c>
      <c r="AG36" s="58">
        <f t="shared" si="193"/>
        <v>0.11222283042740866</v>
      </c>
      <c r="AH36" s="58">
        <f t="shared" si="193"/>
        <v>8.5885872477228009E-2</v>
      </c>
      <c r="AI36" s="58">
        <f t="shared" si="193"/>
        <v>1.8726821720657316E-2</v>
      </c>
      <c r="AJ36" s="58">
        <f t="shared" si="193"/>
        <v>8.1405950095969182E-2</v>
      </c>
      <c r="AK36" s="58">
        <f t="shared" si="193"/>
        <v>-5.4790431239662762E-2</v>
      </c>
      <c r="AL36" s="58">
        <f t="shared" si="193"/>
        <v>-2.5103312156911084E-2</v>
      </c>
      <c r="AM36" s="58">
        <f t="shared" si="193"/>
        <v>-1.4006919080509661E-2</v>
      </c>
      <c r="AN36" s="58">
        <f t="shared" si="193"/>
        <v>-7.1883389168682088E-3</v>
      </c>
      <c r="AO36" s="58">
        <f t="shared" si="193"/>
        <v>2.0665107465387411E-2</v>
      </c>
      <c r="AP36" s="58">
        <f t="shared" si="193"/>
        <v>-4.3053270909781061E-2</v>
      </c>
      <c r="AQ36" s="58">
        <f t="shared" si="193"/>
        <v>3.0999999999999917E-2</v>
      </c>
      <c r="AR36" s="58">
        <f t="shared" si="193"/>
        <v>2.6000000000000023E-2</v>
      </c>
      <c r="AS36" s="58">
        <f t="shared" si="193"/>
        <v>-4.0000000000000036E-2</v>
      </c>
      <c r="AT36" s="57"/>
      <c r="AU36" s="57"/>
      <c r="AV36" s="57">
        <f t="shared" ref="AV36:BC36" si="194">AV15/AU15-1</f>
        <v>0.27856341803659834</v>
      </c>
      <c r="AW36" s="57">
        <f t="shared" si="194"/>
        <v>-7.7342061913013738E-2</v>
      </c>
      <c r="AX36" s="57">
        <f t="shared" si="194"/>
        <v>6.304518199398057E-2</v>
      </c>
      <c r="AY36" s="57">
        <f t="shared" si="194"/>
        <v>0.15861957650261305</v>
      </c>
      <c r="AZ36" s="57">
        <f t="shared" si="194"/>
        <v>-2.04107758052674E-2</v>
      </c>
      <c r="BA36" s="57">
        <f t="shared" si="194"/>
        <v>5.5120803769784787E-2</v>
      </c>
      <c r="BB36" s="57">
        <f t="shared" si="194"/>
        <v>0.33259384733074704</v>
      </c>
      <c r="BC36" s="57">
        <f t="shared" si="194"/>
        <v>7.7937876041846099E-2</v>
      </c>
      <c r="BD36" s="57">
        <f>BD15/BC15-1</f>
        <v>-2.800460530319937E-2</v>
      </c>
      <c r="BE36" s="57">
        <f t="shared" ref="BE36:BO36" si="195">BE15/BD15-1</f>
        <v>8.3505876827949521E-3</v>
      </c>
      <c r="BF36" s="57">
        <f t="shared" si="195"/>
        <v>3.0000000000000027E-2</v>
      </c>
      <c r="BG36" s="57">
        <f t="shared" si="195"/>
        <v>3.0000000000000027E-2</v>
      </c>
      <c r="BH36" s="57">
        <f t="shared" si="195"/>
        <v>3.0000000000000027E-2</v>
      </c>
      <c r="BI36" s="57">
        <f t="shared" si="195"/>
        <v>3.0000000000000027E-2</v>
      </c>
      <c r="BJ36" s="57">
        <f t="shared" si="195"/>
        <v>3.0000000000000027E-2</v>
      </c>
      <c r="BK36" s="57">
        <f t="shared" si="195"/>
        <v>3.0000000000000027E-2</v>
      </c>
      <c r="BL36" s="57">
        <f t="shared" si="195"/>
        <v>3.0000000000000027E-2</v>
      </c>
      <c r="BM36" s="57">
        <f t="shared" si="195"/>
        <v>3.0000000000000027E-2</v>
      </c>
      <c r="BN36" s="57">
        <f t="shared" si="195"/>
        <v>3.0000000000000027E-2</v>
      </c>
      <c r="BO36" s="57">
        <f t="shared" si="195"/>
        <v>3.0000000000000027E-2</v>
      </c>
      <c r="BP36" s="57"/>
      <c r="BQ36" s="59" t="s">
        <v>92</v>
      </c>
      <c r="BR36" s="60">
        <f>BR35/Main!L3</f>
        <v>165.91413477571595</v>
      </c>
      <c r="BS36" s="61"/>
      <c r="BT36" s="61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</row>
    <row r="37" spans="1:106" s="63" customFormat="1" ht="18" x14ac:dyDescent="0.35">
      <c r="A37" s="62" t="s">
        <v>42</v>
      </c>
      <c r="G37" s="63">
        <f t="shared" ref="G37:S37" si="196">G15/C15-1</f>
        <v>0.27086710774218981</v>
      </c>
      <c r="H37" s="63">
        <f t="shared" si="196"/>
        <v>0.32520303483650359</v>
      </c>
      <c r="I37" s="63">
        <f t="shared" si="196"/>
        <v>0.80120124397597503</v>
      </c>
      <c r="J37" s="63">
        <f t="shared" si="196"/>
        <v>-0.32228314052467188</v>
      </c>
      <c r="K37" s="63">
        <f t="shared" si="196"/>
        <v>-0.26981554904326843</v>
      </c>
      <c r="L37" s="63">
        <f t="shared" si="196"/>
        <v>-5.5498437657494182E-2</v>
      </c>
      <c r="M37" s="63">
        <f t="shared" si="196"/>
        <v>3.2673450021088124E-2</v>
      </c>
      <c r="N37" s="63">
        <f t="shared" si="196"/>
        <v>4.626461221987066E-2</v>
      </c>
      <c r="O37" s="63">
        <f t="shared" si="196"/>
        <v>0</v>
      </c>
      <c r="P37" s="63">
        <f t="shared" si="196"/>
        <v>0.18733458550328685</v>
      </c>
      <c r="Q37" s="63">
        <f t="shared" si="196"/>
        <v>0.12689053107171566</v>
      </c>
      <c r="R37" s="63">
        <f t="shared" si="196"/>
        <v>0.15579627949183306</v>
      </c>
      <c r="S37" s="63">
        <f t="shared" si="196"/>
        <v>0.25749563246612217</v>
      </c>
      <c r="T37" s="63">
        <f t="shared" ref="T37:Y37" si="197">T15/P15-1</f>
        <v>0.13070520771540028</v>
      </c>
      <c r="U37" s="63">
        <f t="shared" si="197"/>
        <v>-4.5111163965433243E-2</v>
      </c>
      <c r="V37" s="63">
        <f t="shared" si="197"/>
        <v>-5.1065639465462831E-2</v>
      </c>
      <c r="W37" s="63">
        <f t="shared" si="197"/>
        <v>1.0213085515817122E-2</v>
      </c>
      <c r="X37" s="63">
        <f t="shared" si="197"/>
        <v>1.8124006359300449E-2</v>
      </c>
      <c r="Y37" s="63">
        <f t="shared" si="197"/>
        <v>8.9064167951607098E-2</v>
      </c>
      <c r="Z37" s="63">
        <f t="shared" ref="Z37:AA37" si="198">Z15/V15-1</f>
        <v>5.1366026027750422E-3</v>
      </c>
      <c r="AA37" s="63">
        <f t="shared" si="198"/>
        <v>0.10920106301919752</v>
      </c>
      <c r="AB37" s="63">
        <f>AB15/X15-1</f>
        <v>1.0274828232354816E-2</v>
      </c>
      <c r="AC37" s="63">
        <f t="shared" ref="AC37:AF37" si="199">AC15/Y15-1</f>
        <v>0.21368126422635836</v>
      </c>
      <c r="AD37" s="63">
        <f t="shared" si="199"/>
        <v>0.53626121105070901</v>
      </c>
      <c r="AE37" s="63">
        <f t="shared" si="199"/>
        <v>0.36439641450950822</v>
      </c>
      <c r="AF37" s="63">
        <f t="shared" si="199"/>
        <v>0.28844786546724777</v>
      </c>
      <c r="AG37" s="63">
        <f t="shared" ref="AG37:AH37" si="200">AG15/AC15-1</f>
        <v>0.11222283042740866</v>
      </c>
      <c r="AH37" s="63">
        <f t="shared" si="200"/>
        <v>8.5885872477228009E-2</v>
      </c>
      <c r="AI37" s="63">
        <f t="shared" ref="AI37:AP37" si="201">AI15/AE15-1</f>
        <v>1.8726821720657316E-2</v>
      </c>
      <c r="AJ37" s="63">
        <f t="shared" si="201"/>
        <v>8.1405950095969182E-2</v>
      </c>
      <c r="AK37" s="63">
        <f t="shared" si="201"/>
        <v>-5.4790431239662762E-2</v>
      </c>
      <c r="AL37" s="63">
        <f t="shared" si="201"/>
        <v>-2.5103312156911084E-2</v>
      </c>
      <c r="AM37" s="63">
        <f t="shared" si="201"/>
        <v>-1.4006919080509661E-2</v>
      </c>
      <c r="AN37" s="63">
        <f t="shared" si="201"/>
        <v>-7.1883389168682088E-3</v>
      </c>
      <c r="AO37" s="63">
        <f t="shared" si="201"/>
        <v>2.0665107465387411E-2</v>
      </c>
      <c r="AP37" s="63">
        <f t="shared" si="201"/>
        <v>-4.3053270909781061E-2</v>
      </c>
      <c r="AQ37" s="63">
        <f t="shared" ref="AQ37:AS37" si="202">AQ15/AM15-1</f>
        <v>3.0999999999999917E-2</v>
      </c>
      <c r="AR37" s="63">
        <f t="shared" si="202"/>
        <v>2.6000000000000023E-2</v>
      </c>
      <c r="AS37" s="63">
        <f t="shared" si="202"/>
        <v>-4.0000000000000036E-2</v>
      </c>
      <c r="BQ37" s="64" t="s">
        <v>93</v>
      </c>
      <c r="BR37" s="65">
        <v>191.34</v>
      </c>
    </row>
    <row r="38" spans="1:106" s="67" customFormat="1" ht="18" x14ac:dyDescent="0.35">
      <c r="A38" s="66"/>
      <c r="BQ38" s="68"/>
      <c r="BR38" s="69"/>
    </row>
    <row r="39" spans="1:106" s="67" customFormat="1" ht="18" x14ac:dyDescent="0.35">
      <c r="A39" s="66" t="s">
        <v>114</v>
      </c>
      <c r="C39" s="67">
        <f>C65/C77</f>
        <v>8.8080033079157891E-2</v>
      </c>
      <c r="D39" s="67">
        <f t="shared" ref="D39:AP39" si="203">D65/D77</f>
        <v>6.2404761280700743E-2</v>
      </c>
      <c r="E39" s="67">
        <f t="shared" si="203"/>
        <v>6.474853247338587E-2</v>
      </c>
      <c r="F39" s="67">
        <f t="shared" si="203"/>
        <v>0.12804676774714702</v>
      </c>
      <c r="G39" s="67">
        <f t="shared" si="203"/>
        <v>6.8108473220494833E-2</v>
      </c>
      <c r="H39" s="67">
        <f t="shared" si="203"/>
        <v>7.3052889836385942E-2</v>
      </c>
      <c r="I39" s="67">
        <f t="shared" si="203"/>
        <v>-0.73689765841313859</v>
      </c>
      <c r="J39" s="67">
        <f t="shared" si="203"/>
        <v>6.7081652564720859E-2</v>
      </c>
      <c r="K39" s="67">
        <f t="shared" si="203"/>
        <v>5.0093881485192129E-2</v>
      </c>
      <c r="L39" s="67">
        <f t="shared" si="203"/>
        <v>7.4772629577058089E-2</v>
      </c>
      <c r="M39" s="67">
        <f t="shared" si="203"/>
        <v>0.10836955173837115</v>
      </c>
      <c r="N39" s="67">
        <f t="shared" si="203"/>
        <v>6.3975338164647691E-2</v>
      </c>
      <c r="O39" s="67">
        <f t="shared" si="203"/>
        <v>4.5882371815072688E-2</v>
      </c>
      <c r="P39" s="67">
        <f t="shared" si="203"/>
        <v>6.1908539582579886E-2</v>
      </c>
      <c r="Q39" s="67">
        <f t="shared" si="203"/>
        <v>0.10517241435031935</v>
      </c>
      <c r="R39" s="67">
        <f t="shared" si="203"/>
        <v>8.4512543962306397E-2</v>
      </c>
      <c r="S39" s="67">
        <f t="shared" si="203"/>
        <v>6.8964278747692079E-2</v>
      </c>
      <c r="T39" s="67">
        <f t="shared" si="203"/>
        <v>0.10858797930596423</v>
      </c>
      <c r="U39" s="67">
        <f t="shared" si="203"/>
        <v>0.13336515097277829</v>
      </c>
      <c r="V39" s="67">
        <f t="shared" si="203"/>
        <v>8.1245165528137264E-2</v>
      </c>
      <c r="W39" s="67">
        <f t="shared" si="203"/>
        <v>8.8287010089934351E-2</v>
      </c>
      <c r="X39" s="67">
        <f t="shared" si="203"/>
        <v>0.1356410844645824</v>
      </c>
      <c r="Y39" s="67">
        <f t="shared" si="203"/>
        <v>0.24196269771297779</v>
      </c>
      <c r="Z39" s="67">
        <f t="shared" si="203"/>
        <v>0.11724940303894993</v>
      </c>
      <c r="AA39" s="67">
        <f t="shared" si="203"/>
        <v>0.12191342617895876</v>
      </c>
      <c r="AB39" s="67">
        <f t="shared" si="203"/>
        <v>0.12825164364418956</v>
      </c>
      <c r="AC39" s="67">
        <f t="shared" si="203"/>
        <v>0.2830853871191869</v>
      </c>
      <c r="AD39" s="67">
        <f t="shared" si="203"/>
        <v>0.19176497568873449</v>
      </c>
      <c r="AE39" s="67">
        <f t="shared" si="203"/>
        <v>0.17308281948954424</v>
      </c>
      <c r="AF39" s="67">
        <f t="shared" si="203"/>
        <v>0.24215250865012955</v>
      </c>
      <c r="AG39" s="67">
        <f t="shared" si="203"/>
        <v>0.26630640891116708</v>
      </c>
      <c r="AH39" s="67">
        <f t="shared" si="203"/>
        <v>0.18309716350244229</v>
      </c>
      <c r="AI39" s="67">
        <f t="shared" si="203"/>
        <v>0.15011869423792576</v>
      </c>
      <c r="AJ39" s="67">
        <f t="shared" si="203"/>
        <v>-0.26197519066390756</v>
      </c>
      <c r="AK39" s="67">
        <f t="shared" si="203"/>
        <v>0.2603745118092835</v>
      </c>
      <c r="AL39" s="67">
        <f t="shared" si="203"/>
        <v>0.20798371368886964</v>
      </c>
      <c r="AM39" s="67">
        <f t="shared" si="203"/>
        <v>0.18784326488696756</v>
      </c>
      <c r="AN39" s="67">
        <f t="shared" si="203"/>
        <v>0.20533262053758508</v>
      </c>
      <c r="AO39" s="67">
        <f t="shared" si="203"/>
        <v>0.31142750736081998</v>
      </c>
      <c r="AP39" s="67">
        <f t="shared" si="203"/>
        <v>0.21053533093292903</v>
      </c>
      <c r="BQ39" s="68"/>
      <c r="BR39" s="69"/>
    </row>
    <row r="40" spans="1:106" ht="18" thickBot="1" x14ac:dyDescent="0.35">
      <c r="A40" s="27"/>
      <c r="BQ40" s="70" t="s">
        <v>94</v>
      </c>
      <c r="BR40" s="71">
        <f>BR36/BR37-1</f>
        <v>-0.13288316726394922</v>
      </c>
    </row>
    <row r="41" spans="1:106" ht="17.399999999999999" x14ac:dyDescent="0.3">
      <c r="A41" s="27" t="s">
        <v>54</v>
      </c>
      <c r="C41" s="72">
        <f t="shared" ref="C41:AN41" si="204">C42-C43</f>
        <v>6765</v>
      </c>
      <c r="D41" s="72">
        <f t="shared" si="204"/>
        <v>-10218</v>
      </c>
      <c r="E41" s="72">
        <f t="shared" si="204"/>
        <v>-3940</v>
      </c>
      <c r="F41" s="72">
        <f t="shared" si="204"/>
        <v>-10775</v>
      </c>
      <c r="G41" s="72">
        <f t="shared" si="204"/>
        <v>-69616</v>
      </c>
      <c r="H41" s="72">
        <f t="shared" si="204"/>
        <v>-22861</v>
      </c>
      <c r="I41" s="72">
        <f t="shared" si="204"/>
        <v>152776</v>
      </c>
      <c r="J41" s="72">
        <f t="shared" si="204"/>
        <v>-24589</v>
      </c>
      <c r="K41" s="72">
        <f t="shared" si="204"/>
        <v>-23179</v>
      </c>
      <c r="L41" s="72">
        <f t="shared" si="204"/>
        <v>2693</v>
      </c>
      <c r="M41" s="72">
        <f t="shared" si="204"/>
        <v>-27097</v>
      </c>
      <c r="N41" s="72">
        <f t="shared" si="204"/>
        <v>-31421</v>
      </c>
      <c r="O41" s="72">
        <f t="shared" si="204"/>
        <v>-31580</v>
      </c>
      <c r="P41" s="72">
        <f t="shared" si="204"/>
        <v>-41499</v>
      </c>
      <c r="Q41" s="72">
        <f t="shared" si="204"/>
        <v>-45247</v>
      </c>
      <c r="R41" s="72">
        <f t="shared" si="204"/>
        <v>-33900</v>
      </c>
      <c r="S41" s="72">
        <f t="shared" si="204"/>
        <v>-43630</v>
      </c>
      <c r="T41" s="72">
        <f t="shared" si="204"/>
        <v>-48182</v>
      </c>
      <c r="U41" s="72">
        <f t="shared" si="204"/>
        <v>-28303</v>
      </c>
      <c r="V41" s="72">
        <f t="shared" si="204"/>
        <v>-32538</v>
      </c>
      <c r="W41" s="72">
        <f t="shared" si="204"/>
        <v>-13804</v>
      </c>
      <c r="X41" s="72">
        <f t="shared" si="204"/>
        <v>-7490</v>
      </c>
      <c r="Y41" s="72">
        <f t="shared" si="204"/>
        <v>-1130</v>
      </c>
      <c r="Z41" s="72">
        <f t="shared" si="204"/>
        <v>-15456</v>
      </c>
      <c r="AA41" s="72">
        <f t="shared" si="204"/>
        <v>-19698</v>
      </c>
      <c r="AB41" s="72">
        <f t="shared" si="204"/>
        <v>-7490</v>
      </c>
      <c r="AC41" s="72">
        <f t="shared" si="204"/>
        <v>-35217</v>
      </c>
      <c r="AD41" s="72">
        <f t="shared" si="204"/>
        <v>-51811</v>
      </c>
      <c r="AE41" s="72">
        <f t="shared" si="204"/>
        <v>-60095</v>
      </c>
      <c r="AF41" s="72">
        <f t="shared" si="204"/>
        <v>-21493</v>
      </c>
      <c r="AG41" s="72">
        <f t="shared" si="204"/>
        <v>-58885</v>
      </c>
      <c r="AH41" s="72">
        <f t="shared" si="204"/>
        <v>-68470</v>
      </c>
      <c r="AI41" s="72">
        <f t="shared" si="204"/>
        <v>-71460</v>
      </c>
      <c r="AJ41" s="72">
        <f t="shared" si="204"/>
        <v>-71765</v>
      </c>
      <c r="AK41" s="72">
        <f t="shared" si="204"/>
        <v>-59755</v>
      </c>
      <c r="AL41" s="72">
        <f t="shared" si="204"/>
        <v>-53743</v>
      </c>
      <c r="AM41" s="72">
        <f t="shared" si="204"/>
        <v>-46798</v>
      </c>
      <c r="AN41" s="72">
        <f t="shared" si="204"/>
        <v>-49533</v>
      </c>
      <c r="AO41" s="72">
        <f>AO42-AO43</f>
        <v>-34940</v>
      </c>
      <c r="AP41" s="72">
        <f>AP42-AP43</f>
        <v>-37440</v>
      </c>
      <c r="BQ41" s="73"/>
      <c r="BR41" s="73"/>
    </row>
    <row r="42" spans="1:106" ht="17.399999999999999" x14ac:dyDescent="0.3">
      <c r="A42" s="27" t="s">
        <v>51</v>
      </c>
      <c r="C42" s="72">
        <f t="shared" ref="C42:AN42" si="205">C45</f>
        <v>37805</v>
      </c>
      <c r="D42" s="72">
        <f t="shared" si="205"/>
        <v>25077</v>
      </c>
      <c r="E42" s="72">
        <f t="shared" si="205"/>
        <v>32463</v>
      </c>
      <c r="F42" s="72">
        <f t="shared" si="205"/>
        <v>33096</v>
      </c>
      <c r="G42" s="72">
        <f t="shared" si="205"/>
        <v>15319</v>
      </c>
      <c r="H42" s="72">
        <f t="shared" si="205"/>
        <v>41601</v>
      </c>
      <c r="I42" s="72">
        <f t="shared" si="205"/>
        <v>215739</v>
      </c>
      <c r="J42" s="72">
        <f t="shared" si="205"/>
        <v>55283</v>
      </c>
      <c r="K42" s="72">
        <f t="shared" si="205"/>
        <v>61756</v>
      </c>
      <c r="L42" s="72">
        <f t="shared" si="205"/>
        <v>67155</v>
      </c>
      <c r="M42" s="72">
        <f t="shared" si="205"/>
        <v>60452</v>
      </c>
      <c r="N42" s="72">
        <f t="shared" si="205"/>
        <v>67101</v>
      </c>
      <c r="O42" s="72">
        <f t="shared" si="205"/>
        <v>76759</v>
      </c>
      <c r="P42" s="72">
        <f t="shared" si="205"/>
        <v>74181</v>
      </c>
      <c r="Q42" s="72">
        <f t="shared" si="205"/>
        <v>77153</v>
      </c>
      <c r="R42" s="72">
        <f t="shared" si="205"/>
        <v>87940</v>
      </c>
      <c r="S42" s="72">
        <f t="shared" si="205"/>
        <v>70970</v>
      </c>
      <c r="T42" s="72">
        <f t="shared" si="205"/>
        <v>66301</v>
      </c>
      <c r="U42" s="72">
        <f t="shared" si="205"/>
        <v>86427</v>
      </c>
      <c r="V42" s="72">
        <f t="shared" si="205"/>
        <v>80092</v>
      </c>
      <c r="W42" s="72">
        <f t="shared" si="205"/>
        <v>94614</v>
      </c>
      <c r="X42" s="72">
        <f t="shared" si="205"/>
        <v>100557</v>
      </c>
      <c r="Y42" s="72">
        <f t="shared" si="205"/>
        <v>107162</v>
      </c>
      <c r="Z42" s="72">
        <f t="shared" si="205"/>
        <v>94051</v>
      </c>
      <c r="AA42" s="72">
        <f t="shared" si="205"/>
        <v>93025</v>
      </c>
      <c r="AB42" s="72">
        <f t="shared" si="205"/>
        <v>100557</v>
      </c>
      <c r="AC42" s="72">
        <f t="shared" si="205"/>
        <v>76826</v>
      </c>
      <c r="AD42" s="72">
        <f t="shared" si="205"/>
        <v>69834</v>
      </c>
      <c r="AE42" s="72">
        <f t="shared" si="205"/>
        <v>61696</v>
      </c>
      <c r="AF42" s="72">
        <f t="shared" si="205"/>
        <v>90943</v>
      </c>
      <c r="AG42" s="72">
        <f t="shared" si="205"/>
        <v>63913</v>
      </c>
      <c r="AH42" s="72">
        <f t="shared" si="205"/>
        <v>51511</v>
      </c>
      <c r="AI42" s="72">
        <f t="shared" si="205"/>
        <v>48231</v>
      </c>
      <c r="AJ42" s="72">
        <f t="shared" si="205"/>
        <v>48304</v>
      </c>
      <c r="AK42" s="72">
        <f t="shared" si="205"/>
        <v>51355</v>
      </c>
      <c r="AL42" s="72">
        <f t="shared" si="205"/>
        <v>55872</v>
      </c>
      <c r="AM42" s="72">
        <f t="shared" si="205"/>
        <v>62482</v>
      </c>
      <c r="AN42" s="72">
        <f t="shared" si="205"/>
        <v>61555</v>
      </c>
      <c r="AO42" s="72">
        <f>AO45</f>
        <v>73100</v>
      </c>
      <c r="AP42" s="72">
        <f>AP45</f>
        <v>67150</v>
      </c>
      <c r="BQ42" s="73"/>
      <c r="BR42" s="73"/>
    </row>
    <row r="43" spans="1:106" ht="15" x14ac:dyDescent="0.25">
      <c r="A43" s="27" t="s">
        <v>52</v>
      </c>
      <c r="C43" s="72">
        <f t="shared" ref="C43:AN43" si="206">C58</f>
        <v>31040</v>
      </c>
      <c r="D43" s="72">
        <f t="shared" si="206"/>
        <v>35295</v>
      </c>
      <c r="E43" s="72">
        <f t="shared" si="206"/>
        <v>36403</v>
      </c>
      <c r="F43" s="72">
        <f t="shared" si="206"/>
        <v>43871</v>
      </c>
      <c r="G43" s="72">
        <f t="shared" si="206"/>
        <v>84935</v>
      </c>
      <c r="H43" s="72">
        <f t="shared" si="206"/>
        <v>64462</v>
      </c>
      <c r="I43" s="72">
        <f t="shared" si="206"/>
        <v>62963</v>
      </c>
      <c r="J43" s="72">
        <f t="shared" si="206"/>
        <v>79872</v>
      </c>
      <c r="K43" s="72">
        <f t="shared" si="206"/>
        <v>84935</v>
      </c>
      <c r="L43" s="72">
        <f t="shared" si="206"/>
        <v>64462</v>
      </c>
      <c r="M43" s="72">
        <f t="shared" si="206"/>
        <v>87549</v>
      </c>
      <c r="N43" s="72">
        <f t="shared" si="206"/>
        <v>98522</v>
      </c>
      <c r="O43" s="72">
        <f t="shared" si="206"/>
        <v>108339</v>
      </c>
      <c r="P43" s="72">
        <f t="shared" si="206"/>
        <v>115680</v>
      </c>
      <c r="Q43" s="72">
        <f t="shared" si="206"/>
        <v>122400</v>
      </c>
      <c r="R43" s="72">
        <f t="shared" si="206"/>
        <v>121840</v>
      </c>
      <c r="S43" s="72">
        <f t="shared" si="206"/>
        <v>114600</v>
      </c>
      <c r="T43" s="72">
        <f t="shared" si="206"/>
        <v>114483</v>
      </c>
      <c r="U43" s="72">
        <f t="shared" si="206"/>
        <v>114730</v>
      </c>
      <c r="V43" s="72">
        <f t="shared" si="206"/>
        <v>112630</v>
      </c>
      <c r="W43" s="72">
        <f t="shared" si="206"/>
        <v>108418</v>
      </c>
      <c r="X43" s="72">
        <f t="shared" si="206"/>
        <v>108047</v>
      </c>
      <c r="Y43" s="72">
        <f t="shared" si="206"/>
        <v>108292</v>
      </c>
      <c r="Z43" s="72">
        <f t="shared" si="206"/>
        <v>109507</v>
      </c>
      <c r="AA43" s="72">
        <f t="shared" si="206"/>
        <v>112723</v>
      </c>
      <c r="AB43" s="72">
        <f t="shared" si="206"/>
        <v>108047</v>
      </c>
      <c r="AC43" s="72">
        <f t="shared" si="206"/>
        <v>112043</v>
      </c>
      <c r="AD43" s="72">
        <f t="shared" si="206"/>
        <v>121645</v>
      </c>
      <c r="AE43" s="72">
        <f t="shared" si="206"/>
        <v>121791</v>
      </c>
      <c r="AF43" s="72">
        <f t="shared" si="206"/>
        <v>112436</v>
      </c>
      <c r="AG43" s="72">
        <f t="shared" si="206"/>
        <v>122798</v>
      </c>
      <c r="AH43" s="72">
        <f t="shared" si="206"/>
        <v>119981</v>
      </c>
      <c r="AI43" s="72">
        <f t="shared" si="206"/>
        <v>119691</v>
      </c>
      <c r="AJ43" s="72">
        <f t="shared" si="206"/>
        <v>120069</v>
      </c>
      <c r="AK43" s="72">
        <f t="shared" si="206"/>
        <v>111110</v>
      </c>
      <c r="AL43" s="72">
        <f t="shared" si="206"/>
        <v>109615</v>
      </c>
      <c r="AM43" s="72">
        <f t="shared" si="206"/>
        <v>109280</v>
      </c>
      <c r="AN43" s="72">
        <f t="shared" si="206"/>
        <v>111088</v>
      </c>
      <c r="AO43" s="72">
        <f>AO58</f>
        <v>108040</v>
      </c>
      <c r="AP43" s="72">
        <f>AP58</f>
        <v>104590</v>
      </c>
    </row>
    <row r="44" spans="1:106" ht="15.6" x14ac:dyDescent="0.3">
      <c r="A44" s="12" t="s">
        <v>57</v>
      </c>
    </row>
    <row r="45" spans="1:106" s="72" customFormat="1" ht="15" x14ac:dyDescent="0.25">
      <c r="A45" s="74" t="s">
        <v>51</v>
      </c>
      <c r="C45" s="72">
        <f>12977+24828</f>
        <v>37805</v>
      </c>
      <c r="D45" s="72">
        <f>13844+11233</f>
        <v>25077</v>
      </c>
      <c r="E45" s="72">
        <f>19478+12985</f>
        <v>32463</v>
      </c>
      <c r="F45" s="72">
        <f>14489+18607</f>
        <v>33096</v>
      </c>
      <c r="G45" s="72">
        <v>15319</v>
      </c>
      <c r="H45" s="72">
        <f>21120+20481</f>
        <v>41601</v>
      </c>
      <c r="I45" s="72">
        <v>215739</v>
      </c>
      <c r="J45" s="72">
        <f>21514+33769</f>
        <v>55283</v>
      </c>
      <c r="K45" s="72">
        <f>18237+43519</f>
        <v>61756</v>
      </c>
      <c r="L45" s="72">
        <f>46671+20484</f>
        <v>67155</v>
      </c>
      <c r="M45" s="72">
        <f>16371+44081</f>
        <v>60452</v>
      </c>
      <c r="N45" s="72">
        <f>15157+51944</f>
        <v>67101</v>
      </c>
      <c r="O45" s="72">
        <f>18571+58188</f>
        <v>76759</v>
      </c>
      <c r="P45" s="72">
        <f>20289+53892</f>
        <v>74181</v>
      </c>
      <c r="Q45" s="72">
        <f>27491+49662</f>
        <v>77153</v>
      </c>
      <c r="R45" s="72">
        <f>45059+42881</f>
        <v>87940</v>
      </c>
      <c r="S45" s="72">
        <f>31971+38999</f>
        <v>70970</v>
      </c>
      <c r="T45" s="72">
        <f>25913+40388</f>
        <v>66301</v>
      </c>
      <c r="U45" s="72">
        <f>44771+41656</f>
        <v>86427</v>
      </c>
      <c r="V45" s="72">
        <f>37988+42104</f>
        <v>80092</v>
      </c>
      <c r="W45" s="72">
        <f>50530+44084</f>
        <v>94614</v>
      </c>
      <c r="X45" s="72">
        <f>48844+51713</f>
        <v>100557</v>
      </c>
      <c r="Y45" s="72">
        <f>39771+67391</f>
        <v>107162</v>
      </c>
      <c r="Z45" s="72">
        <f>40174+53877</f>
        <v>94051</v>
      </c>
      <c r="AA45" s="72">
        <f>33383+59642</f>
        <v>93025</v>
      </c>
      <c r="AB45" s="72">
        <f>48844+51713</f>
        <v>100557</v>
      </c>
      <c r="AC45" s="72">
        <f>36010+40816</f>
        <v>76826</v>
      </c>
      <c r="AD45" s="72">
        <f>38466+31368</f>
        <v>69834</v>
      </c>
      <c r="AE45" s="72">
        <f>34050+27646</f>
        <v>61696</v>
      </c>
      <c r="AF45" s="72">
        <f>38016+52927</f>
        <v>90943</v>
      </c>
      <c r="AG45" s="72">
        <f>37119+26794</f>
        <v>63913</v>
      </c>
      <c r="AH45" s="72">
        <f>28098+23413</f>
        <v>51511</v>
      </c>
      <c r="AI45" s="72">
        <f>27502+20729</f>
        <v>48231</v>
      </c>
      <c r="AJ45" s="72">
        <f>23646+24658</f>
        <v>48304</v>
      </c>
      <c r="AK45" s="72">
        <f>20535+30820</f>
        <v>51355</v>
      </c>
      <c r="AL45" s="72">
        <f>24687+31185</f>
        <v>55872</v>
      </c>
      <c r="AM45" s="72">
        <f>28408+34074</f>
        <v>62482</v>
      </c>
      <c r="AN45" s="72">
        <f>29965+31590</f>
        <v>61555</v>
      </c>
      <c r="AO45" s="72">
        <f>40760+32340</f>
        <v>73100</v>
      </c>
      <c r="AP45" s="72">
        <f>32695+34455</f>
        <v>67150</v>
      </c>
      <c r="BJ45" s="72" t="s">
        <v>37</v>
      </c>
    </row>
    <row r="46" spans="1:106" s="72" customFormat="1" ht="15" x14ac:dyDescent="0.25">
      <c r="A46" s="74" t="s">
        <v>58</v>
      </c>
      <c r="C46" s="72">
        <v>10788</v>
      </c>
      <c r="D46" s="72">
        <v>17460</v>
      </c>
      <c r="E46" s="72">
        <v>16709</v>
      </c>
      <c r="F46" s="72">
        <v>10905</v>
      </c>
      <c r="G46" s="72">
        <v>19384</v>
      </c>
      <c r="H46" s="72">
        <v>16849</v>
      </c>
      <c r="I46" s="72">
        <v>12953</v>
      </c>
      <c r="J46" s="72">
        <v>12229</v>
      </c>
      <c r="K46" s="72">
        <v>11714</v>
      </c>
      <c r="L46" s="72">
        <v>15754</v>
      </c>
      <c r="M46" s="72">
        <v>14057</v>
      </c>
      <c r="N46" s="72">
        <v>11579</v>
      </c>
      <c r="O46" s="72">
        <v>12399</v>
      </c>
      <c r="P46" s="72">
        <v>17874</v>
      </c>
      <c r="Q46" s="72">
        <v>23440</v>
      </c>
      <c r="R46" s="72">
        <v>14324</v>
      </c>
      <c r="S46" s="72">
        <v>14104</v>
      </c>
      <c r="T46" s="72">
        <v>23186</v>
      </c>
      <c r="U46" s="72">
        <v>18077</v>
      </c>
      <c r="V46" s="72">
        <v>15085</v>
      </c>
      <c r="W46" s="72">
        <v>14148</v>
      </c>
      <c r="X46" s="72">
        <v>22926</v>
      </c>
      <c r="Y46" s="72">
        <v>20970</v>
      </c>
      <c r="Z46" s="72">
        <v>15722</v>
      </c>
      <c r="AA46" s="72">
        <v>17882</v>
      </c>
      <c r="AB46" s="72">
        <v>22926</v>
      </c>
      <c r="AC46" s="72">
        <v>27101</v>
      </c>
      <c r="AD46" s="72">
        <v>18503</v>
      </c>
      <c r="AE46" s="72">
        <v>27646</v>
      </c>
      <c r="AF46" s="72">
        <v>16120</v>
      </c>
      <c r="AG46" s="72">
        <v>30213</v>
      </c>
      <c r="AH46" s="72">
        <v>20815</v>
      </c>
      <c r="AI46" s="72">
        <v>21803</v>
      </c>
      <c r="AJ46" s="72">
        <v>28184</v>
      </c>
      <c r="AK46" s="72">
        <v>23752</v>
      </c>
      <c r="AL46" s="72">
        <v>17936</v>
      </c>
      <c r="AM46" s="72">
        <v>19549</v>
      </c>
      <c r="AN46" s="72">
        <v>29508</v>
      </c>
      <c r="AO46" s="72">
        <v>23194</v>
      </c>
      <c r="AP46" s="72">
        <v>21837</v>
      </c>
    </row>
    <row r="47" spans="1:106" s="72" customFormat="1" ht="15" x14ac:dyDescent="0.25">
      <c r="A47" s="74" t="s">
        <v>59</v>
      </c>
      <c r="C47" s="72">
        <v>10788</v>
      </c>
      <c r="D47" s="72">
        <v>2111</v>
      </c>
      <c r="E47" s="72">
        <v>2283</v>
      </c>
      <c r="F47" s="72">
        <v>2396</v>
      </c>
      <c r="G47" s="72">
        <v>10370</v>
      </c>
      <c r="H47" s="72">
        <v>2349</v>
      </c>
      <c r="I47" s="72">
        <v>2451</v>
      </c>
      <c r="J47" s="72">
        <v>2281</v>
      </c>
      <c r="K47" s="72">
        <v>1831</v>
      </c>
      <c r="L47" s="72">
        <v>2132</v>
      </c>
      <c r="M47" s="72">
        <v>2712</v>
      </c>
      <c r="N47" s="72">
        <v>2910</v>
      </c>
      <c r="O47" s="72">
        <v>3146</v>
      </c>
      <c r="P47" s="72">
        <v>4855</v>
      </c>
      <c r="Q47" s="72">
        <v>4421</v>
      </c>
      <c r="R47" s="72">
        <v>7662</v>
      </c>
      <c r="S47" s="72">
        <v>5936</v>
      </c>
      <c r="T47" s="72">
        <v>3956</v>
      </c>
      <c r="U47" s="72">
        <v>4988</v>
      </c>
      <c r="V47" s="72">
        <v>4884</v>
      </c>
      <c r="W47" s="72">
        <v>3355</v>
      </c>
      <c r="X47" s="72">
        <v>4106</v>
      </c>
      <c r="Y47" s="72">
        <v>4097</v>
      </c>
      <c r="Z47" s="72">
        <v>3334</v>
      </c>
      <c r="AA47" s="72">
        <v>3978</v>
      </c>
      <c r="AB47" s="72">
        <v>4106</v>
      </c>
      <c r="AC47" s="72">
        <v>4973</v>
      </c>
      <c r="AD47" s="72">
        <v>5219</v>
      </c>
      <c r="AE47" s="72">
        <v>17475</v>
      </c>
      <c r="AF47" s="72">
        <v>4061</v>
      </c>
      <c r="AG47" s="72">
        <v>5876</v>
      </c>
      <c r="AH47" s="72">
        <v>5460</v>
      </c>
      <c r="AI47" s="72">
        <v>5433</v>
      </c>
      <c r="AJ47" s="72">
        <v>4946</v>
      </c>
      <c r="AK47" s="72">
        <v>6820</v>
      </c>
      <c r="AL47" s="72">
        <v>7482</v>
      </c>
      <c r="AM47" s="72">
        <v>7351</v>
      </c>
      <c r="AN47" s="72">
        <v>6331</v>
      </c>
      <c r="AO47" s="72">
        <v>6511</v>
      </c>
      <c r="AP47" s="72">
        <v>6232</v>
      </c>
    </row>
    <row r="48" spans="1:106" s="72" customFormat="1" ht="15" x14ac:dyDescent="0.25">
      <c r="A48" s="74" t="s">
        <v>60</v>
      </c>
      <c r="C48" s="72">
        <v>1594</v>
      </c>
      <c r="D48" s="72">
        <v>4318</v>
      </c>
      <c r="E48" s="72">
        <v>5046</v>
      </c>
      <c r="F48" s="72">
        <v>7259</v>
      </c>
      <c r="G48" s="72">
        <v>2042</v>
      </c>
      <c r="H48" s="72">
        <v>13494</v>
      </c>
      <c r="I48" s="72">
        <v>11668</v>
      </c>
      <c r="J48" s="72">
        <v>7595</v>
      </c>
      <c r="K48" s="72">
        <v>7328</v>
      </c>
      <c r="L48" s="72">
        <v>13545</v>
      </c>
      <c r="M48" s="72">
        <v>13920</v>
      </c>
      <c r="N48" s="72">
        <v>9033</v>
      </c>
      <c r="O48" s="72">
        <v>10233</v>
      </c>
      <c r="P48" s="72">
        <v>17799</v>
      </c>
      <c r="Q48" s="72">
        <v>27459</v>
      </c>
      <c r="R48" s="72">
        <v>8084</v>
      </c>
      <c r="S48" s="72">
        <v>12263</v>
      </c>
      <c r="T48" s="72">
        <v>25809</v>
      </c>
      <c r="U48" s="72">
        <v>18904</v>
      </c>
      <c r="V48" s="72">
        <v>11193</v>
      </c>
      <c r="W48" s="72">
        <v>12326</v>
      </c>
      <c r="X48" s="72">
        <v>22878</v>
      </c>
      <c r="Y48" s="72">
        <v>18976</v>
      </c>
      <c r="Z48" s="72">
        <v>14955</v>
      </c>
      <c r="AA48" s="72">
        <v>14193</v>
      </c>
      <c r="AB48" s="72">
        <v>22878</v>
      </c>
      <c r="AC48" s="72">
        <v>31519</v>
      </c>
      <c r="AD48" s="72">
        <v>14533</v>
      </c>
      <c r="AE48" s="72">
        <v>5178</v>
      </c>
      <c r="AF48" s="72">
        <v>21325</v>
      </c>
      <c r="AG48" s="72">
        <v>35040</v>
      </c>
      <c r="AH48" s="72">
        <v>24585</v>
      </c>
      <c r="AI48" s="72">
        <v>20439</v>
      </c>
      <c r="AJ48" s="72">
        <v>32748</v>
      </c>
      <c r="AK48" s="72">
        <v>30428</v>
      </c>
      <c r="AL48" s="72">
        <v>17963</v>
      </c>
      <c r="AM48" s="72">
        <v>19637</v>
      </c>
      <c r="AN48" s="72">
        <v>31477</v>
      </c>
      <c r="AO48" s="72">
        <v>26908</v>
      </c>
      <c r="AP48" s="72">
        <v>19313</v>
      </c>
    </row>
    <row r="49" spans="1:42" s="72" customFormat="1" ht="15" x14ac:dyDescent="0.25">
      <c r="A49" s="74" t="s">
        <v>61</v>
      </c>
      <c r="C49" s="72">
        <v>3884</v>
      </c>
      <c r="D49" s="72">
        <v>9759</v>
      </c>
      <c r="E49" s="72">
        <v>13635</v>
      </c>
      <c r="F49" s="72">
        <v>9094</v>
      </c>
      <c r="G49" s="72">
        <v>9537</v>
      </c>
      <c r="H49" s="72">
        <v>15085</v>
      </c>
      <c r="I49" s="72">
        <v>11073</v>
      </c>
      <c r="J49" s="72">
        <v>10204</v>
      </c>
      <c r="K49" s="72">
        <v>11132</v>
      </c>
      <c r="L49" s="72">
        <v>8283</v>
      </c>
      <c r="M49" s="72">
        <v>12191</v>
      </c>
      <c r="N49" s="72">
        <v>11367</v>
      </c>
      <c r="O49" s="72">
        <v>10338</v>
      </c>
      <c r="P49" s="72">
        <v>13936</v>
      </c>
      <c r="Q49" s="72">
        <v>11337</v>
      </c>
      <c r="R49" s="72">
        <v>12043</v>
      </c>
      <c r="S49" s="72">
        <v>12488</v>
      </c>
      <c r="T49" s="72">
        <v>12087</v>
      </c>
      <c r="U49" s="72">
        <v>12432</v>
      </c>
      <c r="V49" s="72">
        <v>12092</v>
      </c>
      <c r="W49" s="72">
        <v>10530</v>
      </c>
      <c r="X49" s="72">
        <v>12352</v>
      </c>
      <c r="Y49" s="72">
        <v>12026</v>
      </c>
      <c r="Z49" s="72">
        <v>15691</v>
      </c>
      <c r="AA49" s="72">
        <v>10987</v>
      </c>
      <c r="AB49" s="72">
        <v>12352</v>
      </c>
      <c r="AC49" s="72">
        <v>13687</v>
      </c>
      <c r="AD49" s="72">
        <v>13376</v>
      </c>
      <c r="AE49" s="72">
        <v>13641</v>
      </c>
      <c r="AF49" s="72">
        <v>11264</v>
      </c>
      <c r="AG49" s="72">
        <v>18112</v>
      </c>
      <c r="AH49" s="72">
        <v>15809</v>
      </c>
      <c r="AI49" s="72">
        <v>16386</v>
      </c>
      <c r="AJ49" s="72">
        <v>21223</v>
      </c>
      <c r="AK49" s="72">
        <v>16422</v>
      </c>
      <c r="AL49" s="72">
        <v>13660</v>
      </c>
      <c r="AM49" s="72">
        <v>13640</v>
      </c>
      <c r="AN49" s="72">
        <v>14695</v>
      </c>
      <c r="AO49" s="72">
        <v>13979</v>
      </c>
      <c r="AP49" s="72">
        <v>13884</v>
      </c>
    </row>
    <row r="50" spans="1:42" s="72" customFormat="1" ht="15" x14ac:dyDescent="0.25">
      <c r="A50" s="74" t="s">
        <v>62</v>
      </c>
      <c r="C50" s="72">
        <v>17585</v>
      </c>
      <c r="D50" s="72">
        <v>20624</v>
      </c>
      <c r="E50" s="72">
        <v>20392</v>
      </c>
      <c r="F50" s="72">
        <v>20151</v>
      </c>
      <c r="G50" s="72">
        <v>9291</v>
      </c>
      <c r="H50" s="72">
        <v>22471</v>
      </c>
      <c r="I50" s="72">
        <v>22300</v>
      </c>
      <c r="J50" s="72">
        <v>23203</v>
      </c>
      <c r="K50" s="72">
        <v>25448</v>
      </c>
      <c r="L50" s="72">
        <v>27010</v>
      </c>
      <c r="M50" s="72">
        <v>26510</v>
      </c>
      <c r="N50" s="72">
        <v>27163</v>
      </c>
      <c r="O50" s="72">
        <v>29286</v>
      </c>
      <c r="P50" s="72">
        <v>33783</v>
      </c>
      <c r="Q50" s="72">
        <v>33679</v>
      </c>
      <c r="R50" s="72">
        <v>35077</v>
      </c>
      <c r="S50" s="72">
        <v>38117</v>
      </c>
      <c r="T50" s="72">
        <v>41304</v>
      </c>
      <c r="U50" s="72">
        <v>39597</v>
      </c>
      <c r="V50" s="72">
        <v>38746</v>
      </c>
      <c r="W50" s="72">
        <v>37636</v>
      </c>
      <c r="X50" s="72">
        <v>37378</v>
      </c>
      <c r="Y50" s="72">
        <v>37031</v>
      </c>
      <c r="Z50" s="72">
        <v>35889</v>
      </c>
      <c r="AA50" s="72">
        <v>35687</v>
      </c>
      <c r="AB50" s="72">
        <v>37378</v>
      </c>
      <c r="AC50" s="72">
        <v>37933</v>
      </c>
      <c r="AD50" s="72">
        <v>37815</v>
      </c>
      <c r="AE50" s="72">
        <v>38615</v>
      </c>
      <c r="AF50" s="72">
        <v>36766</v>
      </c>
      <c r="AG50" s="72">
        <v>39245</v>
      </c>
      <c r="AH50" s="72">
        <v>39304</v>
      </c>
      <c r="AI50" s="72">
        <v>40335</v>
      </c>
      <c r="AJ50" s="72">
        <v>42117</v>
      </c>
      <c r="AK50" s="72">
        <v>42951</v>
      </c>
      <c r="AL50" s="72">
        <v>43398</v>
      </c>
      <c r="AM50" s="72">
        <v>43550</v>
      </c>
      <c r="AN50" s="72">
        <v>43715</v>
      </c>
      <c r="AO50" s="72">
        <v>43666</v>
      </c>
      <c r="AP50" s="72">
        <v>43546</v>
      </c>
    </row>
    <row r="51" spans="1:42" s="72" customFormat="1" ht="15" x14ac:dyDescent="0.25">
      <c r="A51" s="74" t="s">
        <v>63</v>
      </c>
      <c r="C51" s="72">
        <f>2374+3767</f>
        <v>6141</v>
      </c>
      <c r="D51" s="72">
        <f>4616+4142</f>
        <v>8758</v>
      </c>
      <c r="E51" s="72">
        <f>4629+4370</f>
        <v>8999</v>
      </c>
      <c r="F51" s="72">
        <f>4711+4061</f>
        <v>8772</v>
      </c>
      <c r="G51" s="72">
        <v>21149</v>
      </c>
      <c r="H51" s="72">
        <f>5116+3893</f>
        <v>9009</v>
      </c>
      <c r="I51" s="72">
        <v>9126</v>
      </c>
      <c r="J51" s="72">
        <f>5249+3843</f>
        <v>9092</v>
      </c>
      <c r="K51" s="72">
        <f>5261+3506</f>
        <v>8767</v>
      </c>
      <c r="L51" s="72">
        <f>5414+3206</f>
        <v>8620</v>
      </c>
      <c r="M51" s="72">
        <f>5423+2848</f>
        <v>8271</v>
      </c>
      <c r="N51" s="72">
        <f>5473+2617</f>
        <v>8090</v>
      </c>
      <c r="O51" s="72">
        <f>5661+2444</f>
        <v>8105</v>
      </c>
      <c r="P51" s="72">
        <f>5717+2298</f>
        <v>8015</v>
      </c>
      <c r="Q51" s="72">
        <f>5889+2149</f>
        <v>8038</v>
      </c>
    </row>
    <row r="52" spans="1:42" s="72" customFormat="1" ht="15" x14ac:dyDescent="0.25">
      <c r="A52" s="74" t="s">
        <v>64</v>
      </c>
      <c r="C52" s="72">
        <v>4160</v>
      </c>
      <c r="D52" s="72">
        <v>2764</v>
      </c>
      <c r="E52" s="72">
        <v>3608</v>
      </c>
      <c r="F52" s="72">
        <v>3937</v>
      </c>
      <c r="G52" s="72">
        <f>5044+3779</f>
        <v>8823</v>
      </c>
      <c r="H52" s="72">
        <v>5556</v>
      </c>
      <c r="I52" s="72">
        <v>7974</v>
      </c>
      <c r="J52" s="72">
        <v>7745</v>
      </c>
      <c r="K52" s="72">
        <v>7862</v>
      </c>
      <c r="L52" s="72">
        <v>8757</v>
      </c>
      <c r="M52" s="72">
        <v>7390</v>
      </c>
      <c r="N52" s="72">
        <v>7549</v>
      </c>
      <c r="O52" s="72">
        <v>10150</v>
      </c>
      <c r="P52" s="72">
        <v>10162</v>
      </c>
      <c r="Q52" s="72">
        <v>13323</v>
      </c>
      <c r="R52" s="72">
        <v>23086</v>
      </c>
      <c r="S52" s="72">
        <v>22546</v>
      </c>
      <c r="T52" s="72">
        <v>22283</v>
      </c>
      <c r="U52" s="72">
        <v>34686</v>
      </c>
      <c r="V52" s="72">
        <v>34587</v>
      </c>
      <c r="W52" s="72">
        <v>33634</v>
      </c>
      <c r="X52" s="72">
        <v>32978</v>
      </c>
      <c r="Y52" s="72">
        <v>40457</v>
      </c>
      <c r="Z52" s="72">
        <v>41965</v>
      </c>
      <c r="AA52" s="72">
        <v>41000</v>
      </c>
      <c r="AB52" s="72">
        <v>32978</v>
      </c>
      <c r="AC52" s="72">
        <v>43270</v>
      </c>
      <c r="AD52" s="72">
        <v>43339</v>
      </c>
      <c r="AE52" s="72">
        <v>44854</v>
      </c>
      <c r="AF52" s="72">
        <v>42522</v>
      </c>
      <c r="AG52" s="72">
        <v>50109</v>
      </c>
      <c r="AH52" s="72">
        <v>51959</v>
      </c>
      <c r="AI52" s="72">
        <v>52605</v>
      </c>
      <c r="AJ52" s="72">
        <v>54428</v>
      </c>
      <c r="AK52" s="72">
        <v>60924</v>
      </c>
      <c r="AL52" s="72">
        <v>65388</v>
      </c>
      <c r="AM52" s="72">
        <v>64768</v>
      </c>
      <c r="AN52" s="72">
        <v>64758</v>
      </c>
      <c r="AO52" s="72">
        <v>66681</v>
      </c>
      <c r="AP52" s="72">
        <v>70262</v>
      </c>
    </row>
    <row r="53" spans="1:42" s="76" customFormat="1" ht="15" x14ac:dyDescent="0.25">
      <c r="A53" s="75" t="s">
        <v>65</v>
      </c>
      <c r="C53" s="76">
        <v>222520</v>
      </c>
      <c r="D53" s="76">
        <v>231839</v>
      </c>
      <c r="E53" s="76">
        <v>261894</v>
      </c>
      <c r="F53" s="76">
        <v>261194</v>
      </c>
      <c r="G53" s="76">
        <v>305602</v>
      </c>
      <c r="H53" s="76">
        <v>290479</v>
      </c>
      <c r="I53" s="76">
        <f>SUM(I45:I52)</f>
        <v>293284</v>
      </c>
      <c r="J53" s="76">
        <v>305277</v>
      </c>
      <c r="K53" s="76">
        <v>305602</v>
      </c>
      <c r="L53" s="76">
        <v>290479</v>
      </c>
      <c r="M53" s="76">
        <v>331141</v>
      </c>
      <c r="N53" s="76">
        <v>334532</v>
      </c>
      <c r="O53" s="76">
        <v>345173</v>
      </c>
      <c r="P53" s="76">
        <v>375319</v>
      </c>
      <c r="Q53" s="76">
        <v>406794</v>
      </c>
      <c r="R53" s="76">
        <v>367502</v>
      </c>
      <c r="S53" s="76">
        <v>349197</v>
      </c>
      <c r="T53" s="76">
        <v>365725</v>
      </c>
      <c r="U53" s="76">
        <v>373719</v>
      </c>
      <c r="V53" s="76">
        <v>341998</v>
      </c>
      <c r="W53" s="76">
        <v>322239</v>
      </c>
      <c r="X53" s="76">
        <v>338516</v>
      </c>
      <c r="Y53" s="76">
        <v>340618</v>
      </c>
      <c r="Z53" s="76">
        <v>320400</v>
      </c>
      <c r="AA53" s="76">
        <v>317344</v>
      </c>
      <c r="AB53" s="76">
        <v>338516</v>
      </c>
      <c r="AC53" s="76">
        <v>354054</v>
      </c>
      <c r="AD53" s="76">
        <v>337158</v>
      </c>
      <c r="AE53" s="76">
        <v>329840</v>
      </c>
      <c r="AF53" s="76">
        <v>323888</v>
      </c>
      <c r="AG53" s="76">
        <v>381191</v>
      </c>
      <c r="AH53" s="76">
        <v>350662</v>
      </c>
      <c r="AI53" s="76">
        <v>336309</v>
      </c>
      <c r="AJ53" s="76">
        <v>352755</v>
      </c>
      <c r="AK53" s="76">
        <v>346747</v>
      </c>
      <c r="AL53" s="76">
        <v>332160</v>
      </c>
      <c r="AM53" s="76">
        <v>335038</v>
      </c>
      <c r="AN53" s="76">
        <v>352583</v>
      </c>
      <c r="AO53" s="76">
        <v>353514</v>
      </c>
      <c r="AP53" s="76">
        <v>337411</v>
      </c>
    </row>
    <row r="54" spans="1:42" ht="15" x14ac:dyDescent="0.25">
      <c r="A54" s="27"/>
      <c r="I54" s="25"/>
      <c r="Y54" s="39"/>
    </row>
    <row r="55" spans="1:42" s="72" customFormat="1" ht="15" x14ac:dyDescent="0.25">
      <c r="A55" s="74" t="s">
        <v>76</v>
      </c>
      <c r="C55" s="72">
        <v>20535</v>
      </c>
      <c r="D55" s="72">
        <v>30196</v>
      </c>
      <c r="E55" s="72">
        <v>38001</v>
      </c>
      <c r="F55" s="72">
        <v>23159</v>
      </c>
      <c r="G55" s="72">
        <v>26318</v>
      </c>
      <c r="H55" s="72">
        <v>35490</v>
      </c>
      <c r="I55" s="72">
        <v>33312</v>
      </c>
      <c r="J55" s="72">
        <v>25098</v>
      </c>
      <c r="K55" s="72">
        <v>26318</v>
      </c>
      <c r="L55" s="72">
        <v>35490</v>
      </c>
      <c r="M55" s="72">
        <v>38510</v>
      </c>
      <c r="N55" s="72">
        <v>28573</v>
      </c>
      <c r="O55" s="72">
        <v>31915</v>
      </c>
      <c r="P55" s="72">
        <v>49049</v>
      </c>
      <c r="Q55" s="72">
        <v>62985</v>
      </c>
      <c r="R55" s="72">
        <v>34311</v>
      </c>
      <c r="S55" s="72">
        <v>38489</v>
      </c>
      <c r="T55" s="72">
        <v>55888</v>
      </c>
      <c r="U55" s="72">
        <v>44293</v>
      </c>
      <c r="V55" s="72">
        <v>30443</v>
      </c>
      <c r="W55" s="72">
        <v>29115</v>
      </c>
      <c r="X55" s="72">
        <v>46236</v>
      </c>
      <c r="Y55" s="72">
        <v>45111</v>
      </c>
      <c r="Z55" s="72">
        <v>32421</v>
      </c>
      <c r="AA55" s="72">
        <v>35325</v>
      </c>
      <c r="AB55" s="72">
        <v>46236</v>
      </c>
      <c r="AC55" s="72">
        <v>63846</v>
      </c>
      <c r="AD55" s="72">
        <v>40127</v>
      </c>
      <c r="AE55" s="72">
        <v>40409</v>
      </c>
      <c r="AF55" s="72">
        <v>42296</v>
      </c>
      <c r="AG55" s="72">
        <v>74362</v>
      </c>
      <c r="AH55" s="72">
        <v>52682</v>
      </c>
      <c r="AI55" s="72">
        <v>48343</v>
      </c>
      <c r="AJ55" s="72">
        <v>64115</v>
      </c>
      <c r="AK55" s="72">
        <v>57918</v>
      </c>
      <c r="AL55" s="72">
        <v>42945</v>
      </c>
      <c r="AM55" s="72">
        <v>46699</v>
      </c>
      <c r="AN55" s="72">
        <v>62611</v>
      </c>
      <c r="AO55" s="72">
        <v>58146</v>
      </c>
      <c r="AP55" s="72">
        <v>45753</v>
      </c>
    </row>
    <row r="56" spans="1:42" s="72" customFormat="1" ht="15" x14ac:dyDescent="0.25">
      <c r="A56" s="74" t="s">
        <v>77</v>
      </c>
      <c r="C56" s="72">
        <v>15264</v>
      </c>
      <c r="D56" s="72">
        <v>18453</v>
      </c>
      <c r="E56" s="72">
        <v>22724</v>
      </c>
      <c r="F56" s="72">
        <v>22827</v>
      </c>
      <c r="G56" s="72">
        <v>20820</v>
      </c>
      <c r="H56" s="72">
        <v>25181</v>
      </c>
      <c r="I56" s="72">
        <v>24032</v>
      </c>
      <c r="J56" s="72">
        <v>23208</v>
      </c>
      <c r="K56" s="72">
        <v>20820</v>
      </c>
      <c r="L56" s="72">
        <v>25181</v>
      </c>
      <c r="M56" s="72">
        <v>23739</v>
      </c>
      <c r="N56" s="72">
        <v>23096</v>
      </c>
      <c r="O56" s="72">
        <v>23304</v>
      </c>
      <c r="P56" s="72">
        <v>25744</v>
      </c>
      <c r="Q56" s="72">
        <v>26281</v>
      </c>
      <c r="R56" s="72">
        <v>26756</v>
      </c>
      <c r="S56" s="72">
        <v>25184</v>
      </c>
      <c r="T56" s="72">
        <v>33327</v>
      </c>
      <c r="U56" s="72">
        <v>36703</v>
      </c>
      <c r="V56" s="72">
        <v>35368</v>
      </c>
      <c r="W56" s="72">
        <v>31673</v>
      </c>
      <c r="X56" s="72">
        <v>37720</v>
      </c>
      <c r="Y56" s="72">
        <v>36263</v>
      </c>
      <c r="Z56" s="72">
        <v>37324</v>
      </c>
      <c r="AA56" s="72">
        <v>35005</v>
      </c>
      <c r="AB56" s="72">
        <v>37720</v>
      </c>
      <c r="AC56" s="72">
        <v>48504</v>
      </c>
      <c r="AD56" s="72">
        <v>45660</v>
      </c>
      <c r="AE56" s="72">
        <v>43625</v>
      </c>
      <c r="AF56" s="72">
        <v>42684</v>
      </c>
      <c r="AG56" s="72">
        <v>49167</v>
      </c>
      <c r="AH56" s="72">
        <v>50248</v>
      </c>
      <c r="AI56" s="72">
        <v>48811</v>
      </c>
      <c r="AJ56" s="72">
        <v>60845</v>
      </c>
      <c r="AK56" s="72">
        <v>59893</v>
      </c>
      <c r="AL56" s="72">
        <v>56425</v>
      </c>
      <c r="AM56" s="72">
        <v>58897</v>
      </c>
      <c r="AN56" s="72">
        <v>58829</v>
      </c>
      <c r="AO56" s="72">
        <v>54611</v>
      </c>
      <c r="AP56" s="72">
        <v>57398</v>
      </c>
    </row>
    <row r="57" spans="1:42" s="72" customFormat="1" ht="15" x14ac:dyDescent="0.25">
      <c r="A57" s="74" t="s">
        <v>78</v>
      </c>
      <c r="C57" s="72">
        <v>8396</v>
      </c>
      <c r="D57" s="72">
        <v>8491</v>
      </c>
      <c r="E57" s="72">
        <v>8987</v>
      </c>
      <c r="F57" s="72">
        <v>8944</v>
      </c>
      <c r="G57" s="72">
        <v>8352</v>
      </c>
      <c r="H57" s="72">
        <v>8940</v>
      </c>
      <c r="I57" s="72">
        <v>12535</v>
      </c>
      <c r="J57" s="72">
        <v>9461</v>
      </c>
      <c r="K57" s="72">
        <v>8352</v>
      </c>
      <c r="L57" s="72">
        <v>8940</v>
      </c>
      <c r="M57" s="72">
        <v>7889</v>
      </c>
      <c r="N57" s="72">
        <v>7682</v>
      </c>
      <c r="O57" s="72">
        <v>7608</v>
      </c>
      <c r="P57" s="72">
        <v>7548</v>
      </c>
      <c r="Q57" s="72">
        <v>8044</v>
      </c>
      <c r="R57" s="72">
        <v>7775</v>
      </c>
      <c r="S57" s="72">
        <v>7403</v>
      </c>
      <c r="T57" s="72">
        <v>5966</v>
      </c>
      <c r="U57" s="72">
        <v>5546</v>
      </c>
      <c r="V57" s="72">
        <v>5532</v>
      </c>
      <c r="W57" s="72">
        <v>5434</v>
      </c>
      <c r="X57" s="72">
        <v>5522</v>
      </c>
      <c r="Y57" s="72">
        <v>5573</v>
      </c>
      <c r="Z57" s="72">
        <v>5928</v>
      </c>
      <c r="AA57" s="72">
        <v>6313</v>
      </c>
      <c r="AB57" s="72">
        <v>5522</v>
      </c>
      <c r="AC57" s="72">
        <v>7395</v>
      </c>
      <c r="AD57" s="72">
        <v>7595</v>
      </c>
      <c r="AE57" s="72">
        <v>7681</v>
      </c>
      <c r="AF57" s="72">
        <v>6643</v>
      </c>
      <c r="AG57" s="72">
        <v>7876</v>
      </c>
      <c r="AH57" s="72">
        <v>7920</v>
      </c>
      <c r="AI57" s="72">
        <v>7728</v>
      </c>
      <c r="AJ57" s="72">
        <v>7912</v>
      </c>
      <c r="AK57" s="72">
        <v>7992</v>
      </c>
      <c r="AL57" s="72">
        <v>8131</v>
      </c>
      <c r="AM57" s="72">
        <v>8158</v>
      </c>
      <c r="AN57" s="72">
        <v>8061</v>
      </c>
      <c r="AO57" s="72">
        <v>8264</v>
      </c>
      <c r="AP57" s="72">
        <v>8012</v>
      </c>
    </row>
    <row r="58" spans="1:42" s="72" customFormat="1" ht="15" x14ac:dyDescent="0.25">
      <c r="A58" s="74" t="s">
        <v>52</v>
      </c>
      <c r="C58" s="72">
        <f>2010+29030</f>
        <v>31040</v>
      </c>
      <c r="D58" s="72">
        <f>6308+28987</f>
        <v>35295</v>
      </c>
      <c r="E58" s="72">
        <f>3899+32504</f>
        <v>36403</v>
      </c>
      <c r="F58" s="72">
        <f>3799+40072</f>
        <v>43871</v>
      </c>
      <c r="G58" s="72">
        <f>12496+3500+68939</f>
        <v>84935</v>
      </c>
      <c r="H58" s="72">
        <f>8499+2500+53463</f>
        <v>64462</v>
      </c>
      <c r="I58" s="72">
        <v>62963</v>
      </c>
      <c r="J58" s="72">
        <f>7998+2500+69374</f>
        <v>79872</v>
      </c>
      <c r="K58" s="72">
        <f>12496+3500+68939</f>
        <v>84935</v>
      </c>
      <c r="L58" s="72">
        <f>8499+2500+53463</f>
        <v>64462</v>
      </c>
      <c r="M58" s="72">
        <f>10493+3499+73557</f>
        <v>87549</v>
      </c>
      <c r="N58" s="72">
        <f>9992+3999+84531</f>
        <v>98522</v>
      </c>
      <c r="O58" s="72">
        <f>11980+6495+89864</f>
        <v>108339</v>
      </c>
      <c r="P58" s="72">
        <f>11977+97207+6496</f>
        <v>115680</v>
      </c>
      <c r="Q58" s="72">
        <f>11980+6498+103922</f>
        <v>122400</v>
      </c>
      <c r="R58" s="72">
        <f>11980+8498+101362</f>
        <v>121840</v>
      </c>
      <c r="S58" s="72">
        <f>11974+5498+97128</f>
        <v>114600</v>
      </c>
      <c r="T58" s="72">
        <f>11964+8784+93735</f>
        <v>114483</v>
      </c>
      <c r="U58" s="72">
        <f>11969+9772+92989</f>
        <v>114730</v>
      </c>
      <c r="V58" s="72">
        <f>11924+10505+90201</f>
        <v>112630</v>
      </c>
      <c r="W58" s="72">
        <f>9953+13529+84936</f>
        <v>108418</v>
      </c>
      <c r="X58" s="72">
        <f>5980+10260+91807</f>
        <v>108047</v>
      </c>
      <c r="Y58" s="72">
        <f>4990+10224+93078</f>
        <v>108292</v>
      </c>
      <c r="Z58" s="72">
        <f>10029+10392+89086</f>
        <v>109507</v>
      </c>
      <c r="AA58" s="72">
        <f>11166+7509+94048</f>
        <v>112723</v>
      </c>
      <c r="AB58" s="72">
        <f>5980+10260+91807</f>
        <v>108047</v>
      </c>
      <c r="AC58" s="72">
        <f>5000+7762+99281</f>
        <v>112043</v>
      </c>
      <c r="AD58" s="72">
        <f>5000+8003+108642</f>
        <v>121645</v>
      </c>
      <c r="AE58" s="72">
        <f>8000+8039+105752</f>
        <v>121791</v>
      </c>
      <c r="AF58" s="72">
        <f>4996+8773+98667</f>
        <v>112436</v>
      </c>
      <c r="AG58" s="72">
        <f>5000+11169+106629</f>
        <v>122798</v>
      </c>
      <c r="AH58" s="72">
        <f>6999+9659+103323</f>
        <v>119981</v>
      </c>
      <c r="AI58" s="72">
        <f>10982+14009+94700</f>
        <v>119691</v>
      </c>
      <c r="AJ58" s="72">
        <f>9982+11128+98959</f>
        <v>120069</v>
      </c>
      <c r="AK58" s="72">
        <f>1743+9740+99627</f>
        <v>111110</v>
      </c>
      <c r="AL58" s="72">
        <f>1996+10578+97041</f>
        <v>109615</v>
      </c>
      <c r="AM58" s="72">
        <f>3993+7216+98071</f>
        <v>109280</v>
      </c>
      <c r="AN58" s="72">
        <f>5985+9822+95281</f>
        <v>111088</v>
      </c>
      <c r="AO58" s="72">
        <f>1998+10954+95088</f>
        <v>108040</v>
      </c>
      <c r="AP58" s="72">
        <f>10762+91831+1997</f>
        <v>104590</v>
      </c>
    </row>
    <row r="59" spans="1:42" s="72" customFormat="1" ht="15" x14ac:dyDescent="0.25">
      <c r="A59" s="74" t="s">
        <v>79</v>
      </c>
      <c r="C59" s="72">
        <v>23287</v>
      </c>
      <c r="D59" s="72">
        <v>24826</v>
      </c>
      <c r="E59" s="72">
        <v>28971</v>
      </c>
      <c r="F59" s="72">
        <v>29816</v>
      </c>
      <c r="G59" s="72">
        <v>35572</v>
      </c>
      <c r="H59" s="72">
        <v>33427</v>
      </c>
      <c r="I59" s="72">
        <v>32175</v>
      </c>
      <c r="J59" s="72">
        <v>33859</v>
      </c>
      <c r="K59" s="72">
        <v>35572</v>
      </c>
      <c r="L59" s="72">
        <v>33427</v>
      </c>
      <c r="M59" s="72">
        <v>37901</v>
      </c>
      <c r="N59" s="72">
        <v>39470</v>
      </c>
      <c r="O59" s="72">
        <v>38598</v>
      </c>
      <c r="P59" s="72">
        <v>40415</v>
      </c>
      <c r="Q59" s="72">
        <v>43754</v>
      </c>
      <c r="R59" s="72">
        <v>46855</v>
      </c>
      <c r="S59" s="72">
        <v>45694</v>
      </c>
      <c r="T59" s="72">
        <v>48914</v>
      </c>
      <c r="U59" s="72">
        <v>54555</v>
      </c>
      <c r="V59" s="72">
        <v>52165</v>
      </c>
      <c r="W59" s="72">
        <v>51143</v>
      </c>
      <c r="X59" s="72">
        <v>50503</v>
      </c>
      <c r="Y59" s="72">
        <v>55848</v>
      </c>
      <c r="Z59" s="72">
        <v>56795</v>
      </c>
      <c r="AA59" s="72">
        <v>55696</v>
      </c>
      <c r="AB59" s="72">
        <v>50503</v>
      </c>
      <c r="AC59" s="72">
        <v>56042</v>
      </c>
      <c r="AD59" s="72">
        <v>52953</v>
      </c>
      <c r="AE59" s="72">
        <v>52054</v>
      </c>
      <c r="AF59" s="72">
        <v>54490</v>
      </c>
      <c r="AG59" s="72">
        <v>55056</v>
      </c>
      <c r="AH59" s="72">
        <v>52432</v>
      </c>
      <c r="AI59" s="72">
        <v>53629</v>
      </c>
      <c r="AJ59" s="72">
        <v>49142</v>
      </c>
      <c r="AK59" s="72">
        <v>53107</v>
      </c>
      <c r="AL59" s="72">
        <v>52886</v>
      </c>
      <c r="AM59" s="72">
        <v>51730</v>
      </c>
      <c r="AN59" s="72">
        <v>49848</v>
      </c>
      <c r="AO59" s="72">
        <v>50353</v>
      </c>
      <c r="AP59" s="72">
        <v>10762</v>
      </c>
    </row>
    <row r="60" spans="1:42" s="76" customFormat="1" ht="15" x14ac:dyDescent="0.25">
      <c r="A60" s="75" t="s">
        <v>80</v>
      </c>
      <c r="C60" s="76">
        <v>101580</v>
      </c>
      <c r="D60" s="76">
        <v>120292</v>
      </c>
      <c r="E60" s="76">
        <v>138566</v>
      </c>
      <c r="F60" s="76">
        <v>132188</v>
      </c>
      <c r="G60" s="76">
        <v>179061</v>
      </c>
      <c r="H60" s="76">
        <v>171124</v>
      </c>
      <c r="I60" s="76">
        <f>SUM(I55:I59)</f>
        <v>165017</v>
      </c>
      <c r="J60" s="76">
        <v>174820</v>
      </c>
      <c r="K60" s="76">
        <v>179061</v>
      </c>
      <c r="L60" s="76">
        <v>171124</v>
      </c>
      <c r="M60" s="76">
        <v>198751</v>
      </c>
      <c r="N60" s="76">
        <v>200450</v>
      </c>
      <c r="O60" s="76">
        <v>212748</v>
      </c>
      <c r="P60" s="76">
        <v>241272</v>
      </c>
      <c r="Q60" s="76">
        <v>266595</v>
      </c>
      <c r="R60" s="76">
        <v>240624</v>
      </c>
      <c r="S60" s="76">
        <v>234248</v>
      </c>
      <c r="T60" s="76">
        <v>258578</v>
      </c>
      <c r="U60" s="76">
        <v>255827</v>
      </c>
      <c r="V60" s="76">
        <v>236138</v>
      </c>
      <c r="W60" s="76">
        <v>225783</v>
      </c>
      <c r="X60" s="76">
        <v>248028</v>
      </c>
      <c r="Y60" s="76">
        <v>251087</v>
      </c>
      <c r="Z60" s="76">
        <v>241975</v>
      </c>
      <c r="AA60" s="76">
        <v>245062</v>
      </c>
      <c r="AB60" s="76">
        <v>248028</v>
      </c>
      <c r="AC60" s="76">
        <v>287830</v>
      </c>
      <c r="AD60" s="76">
        <v>267980</v>
      </c>
      <c r="AE60" s="76">
        <v>265560</v>
      </c>
      <c r="AF60" s="76">
        <v>258549</v>
      </c>
      <c r="AG60" s="76">
        <v>309259</v>
      </c>
      <c r="AH60" s="76">
        <v>283263</v>
      </c>
      <c r="AI60" s="76">
        <v>278202</v>
      </c>
      <c r="AJ60" s="76">
        <v>302083</v>
      </c>
      <c r="AK60" s="76">
        <v>290020</v>
      </c>
      <c r="AL60" s="76">
        <v>270002</v>
      </c>
      <c r="AM60" s="76">
        <v>274764</v>
      </c>
      <c r="AN60" s="76">
        <v>290437</v>
      </c>
      <c r="AO60" s="76">
        <v>279414</v>
      </c>
      <c r="AP60" s="76">
        <v>263217</v>
      </c>
    </row>
    <row r="61" spans="1:42" s="72" customFormat="1" ht="15" x14ac:dyDescent="0.25">
      <c r="A61" s="74" t="s">
        <v>81</v>
      </c>
      <c r="C61" s="72">
        <v>120940</v>
      </c>
      <c r="D61" s="72">
        <v>111547</v>
      </c>
      <c r="E61" s="72">
        <v>123328</v>
      </c>
      <c r="F61" s="72">
        <v>129006</v>
      </c>
      <c r="G61" s="72">
        <v>126541</v>
      </c>
      <c r="H61" s="72">
        <v>119355</v>
      </c>
      <c r="I61" s="72">
        <v>128267</v>
      </c>
      <c r="J61" s="72">
        <v>130457</v>
      </c>
      <c r="K61" s="72">
        <v>126541</v>
      </c>
      <c r="L61" s="72">
        <v>119355</v>
      </c>
      <c r="M61" s="72">
        <v>132390</v>
      </c>
      <c r="N61" s="72">
        <v>134082</v>
      </c>
      <c r="O61" s="72">
        <v>132425</v>
      </c>
      <c r="P61" s="72">
        <v>134047</v>
      </c>
      <c r="Q61" s="72">
        <v>140199</v>
      </c>
      <c r="R61" s="72">
        <v>126878</v>
      </c>
      <c r="S61" s="72">
        <v>114949</v>
      </c>
      <c r="T61" s="72">
        <v>117892</v>
      </c>
      <c r="U61" s="72">
        <v>117892</v>
      </c>
      <c r="V61" s="72">
        <v>105860</v>
      </c>
      <c r="W61" s="72">
        <v>96456</v>
      </c>
      <c r="X61" s="72">
        <v>90488</v>
      </c>
      <c r="Y61" s="72">
        <v>89531</v>
      </c>
      <c r="Z61" s="72">
        <v>78425</v>
      </c>
      <c r="AA61" s="72">
        <v>72282</v>
      </c>
      <c r="AB61" s="72">
        <v>90488</v>
      </c>
      <c r="AC61" s="72">
        <v>66224</v>
      </c>
      <c r="AD61" s="72">
        <v>69178</v>
      </c>
      <c r="AE61" s="72">
        <v>64280</v>
      </c>
      <c r="AF61" s="72">
        <v>65339</v>
      </c>
      <c r="AG61" s="72">
        <v>71932</v>
      </c>
      <c r="AH61" s="72">
        <v>67399</v>
      </c>
      <c r="AI61" s="72">
        <v>58107</v>
      </c>
      <c r="AJ61" s="72">
        <v>50672</v>
      </c>
      <c r="AK61" s="72">
        <v>56727</v>
      </c>
      <c r="AL61" s="72">
        <v>62158</v>
      </c>
      <c r="AM61" s="72">
        <v>60274</v>
      </c>
      <c r="AN61" s="72">
        <v>62146</v>
      </c>
      <c r="AO61" s="72">
        <v>74100</v>
      </c>
      <c r="AP61" s="72">
        <v>74194</v>
      </c>
    </row>
    <row r="62" spans="1:42" s="78" customFormat="1" ht="15.6" thickBot="1" x14ac:dyDescent="0.3">
      <c r="A62" s="77" t="s">
        <v>82</v>
      </c>
      <c r="C62" s="78">
        <v>222520</v>
      </c>
      <c r="D62" s="78">
        <v>231839</v>
      </c>
      <c r="E62" s="78">
        <v>261894</v>
      </c>
      <c r="F62" s="78">
        <v>261194</v>
      </c>
      <c r="G62" s="78">
        <v>305602</v>
      </c>
      <c r="H62" s="78">
        <v>290479</v>
      </c>
      <c r="I62" s="78">
        <f>I61+I60</f>
        <v>293284</v>
      </c>
      <c r="J62" s="78">
        <v>305277</v>
      </c>
      <c r="K62" s="78">
        <v>305602</v>
      </c>
      <c r="L62" s="78">
        <v>290479</v>
      </c>
      <c r="M62" s="78">
        <v>331141</v>
      </c>
      <c r="N62" s="78">
        <v>334532</v>
      </c>
      <c r="O62" s="78">
        <v>345173</v>
      </c>
      <c r="P62" s="78">
        <v>375319</v>
      </c>
      <c r="Q62" s="78">
        <v>406794</v>
      </c>
      <c r="R62" s="78">
        <v>367502</v>
      </c>
      <c r="S62" s="78">
        <v>349197</v>
      </c>
      <c r="T62" s="78">
        <v>373719</v>
      </c>
      <c r="U62" s="78">
        <v>373719</v>
      </c>
      <c r="V62" s="78">
        <v>341998</v>
      </c>
      <c r="W62" s="78">
        <v>322239</v>
      </c>
      <c r="X62" s="78">
        <v>338516</v>
      </c>
      <c r="Y62" s="78">
        <v>340618</v>
      </c>
      <c r="Z62" s="78">
        <v>320400</v>
      </c>
      <c r="AA62" s="78">
        <v>317344</v>
      </c>
      <c r="AB62" s="78">
        <v>338516</v>
      </c>
      <c r="AC62" s="78">
        <v>354054</v>
      </c>
      <c r="AD62" s="78">
        <v>337158</v>
      </c>
      <c r="AE62" s="78">
        <v>329840</v>
      </c>
      <c r="AF62" s="78">
        <v>323888</v>
      </c>
      <c r="AG62" s="78">
        <v>381191</v>
      </c>
      <c r="AH62" s="78">
        <v>350662</v>
      </c>
      <c r="AI62" s="78">
        <v>336309</v>
      </c>
      <c r="AJ62" s="78">
        <v>352755</v>
      </c>
      <c r="AK62" s="78">
        <v>346747</v>
      </c>
      <c r="AL62" s="78">
        <v>332160</v>
      </c>
      <c r="AM62" s="78">
        <v>335038</v>
      </c>
      <c r="AN62" s="78">
        <v>352583</v>
      </c>
      <c r="AO62" s="78">
        <v>353514</v>
      </c>
      <c r="AP62" s="78">
        <v>337411</v>
      </c>
    </row>
    <row r="63" spans="1:42" ht="14.4" thickTop="1" x14ac:dyDescent="0.25">
      <c r="T63" s="25"/>
    </row>
    <row r="64" spans="1:42" s="72" customFormat="1" x14ac:dyDescent="0.25">
      <c r="A64" s="79" t="s">
        <v>106</v>
      </c>
      <c r="C64" s="72">
        <f t="shared" ref="C64:AO64" si="207">C41+C61</f>
        <v>127705</v>
      </c>
      <c r="D64" s="72">
        <f t="shared" si="207"/>
        <v>101329</v>
      </c>
      <c r="E64" s="72">
        <f t="shared" si="207"/>
        <v>119388</v>
      </c>
      <c r="F64" s="72">
        <f t="shared" si="207"/>
        <v>118231</v>
      </c>
      <c r="G64" s="72">
        <f t="shared" si="207"/>
        <v>56925</v>
      </c>
      <c r="H64" s="72">
        <f t="shared" si="207"/>
        <v>96494</v>
      </c>
      <c r="I64" s="72">
        <f t="shared" si="207"/>
        <v>281043</v>
      </c>
      <c r="J64" s="72">
        <f t="shared" si="207"/>
        <v>105868</v>
      </c>
      <c r="K64" s="72">
        <f t="shared" si="207"/>
        <v>103362</v>
      </c>
      <c r="L64" s="72">
        <f t="shared" si="207"/>
        <v>122048</v>
      </c>
      <c r="M64" s="72">
        <f t="shared" si="207"/>
        <v>105293</v>
      </c>
      <c r="N64" s="72">
        <f t="shared" si="207"/>
        <v>102661</v>
      </c>
      <c r="O64" s="72">
        <f t="shared" si="207"/>
        <v>100845</v>
      </c>
      <c r="P64" s="72">
        <f t="shared" si="207"/>
        <v>92548</v>
      </c>
      <c r="Q64" s="72">
        <f t="shared" si="207"/>
        <v>94952</v>
      </c>
      <c r="R64" s="72">
        <f t="shared" si="207"/>
        <v>92978</v>
      </c>
      <c r="S64" s="72">
        <f t="shared" si="207"/>
        <v>71319</v>
      </c>
      <c r="T64" s="72">
        <f t="shared" si="207"/>
        <v>69710</v>
      </c>
      <c r="U64" s="72">
        <f t="shared" si="207"/>
        <v>89589</v>
      </c>
      <c r="V64" s="72">
        <f t="shared" si="207"/>
        <v>73322</v>
      </c>
      <c r="W64" s="72">
        <f t="shared" si="207"/>
        <v>82652</v>
      </c>
      <c r="X64" s="72">
        <f t="shared" si="207"/>
        <v>82998</v>
      </c>
      <c r="Y64" s="72">
        <f t="shared" si="207"/>
        <v>88401</v>
      </c>
      <c r="Z64" s="72">
        <f t="shared" si="207"/>
        <v>62969</v>
      </c>
      <c r="AA64" s="72">
        <f t="shared" si="207"/>
        <v>52584</v>
      </c>
      <c r="AB64" s="72">
        <f t="shared" si="207"/>
        <v>82998</v>
      </c>
      <c r="AC64" s="72">
        <f t="shared" si="207"/>
        <v>31007</v>
      </c>
      <c r="AD64" s="72">
        <f t="shared" si="207"/>
        <v>17367</v>
      </c>
      <c r="AE64" s="72">
        <f t="shared" si="207"/>
        <v>4185</v>
      </c>
      <c r="AF64" s="72">
        <f t="shared" si="207"/>
        <v>43846</v>
      </c>
      <c r="AG64" s="72">
        <f t="shared" si="207"/>
        <v>13047</v>
      </c>
      <c r="AH64" s="72">
        <f t="shared" si="207"/>
        <v>-1071</v>
      </c>
      <c r="AI64" s="72">
        <f t="shared" si="207"/>
        <v>-13353</v>
      </c>
      <c r="AJ64" s="72">
        <f t="shared" si="207"/>
        <v>-21093</v>
      </c>
      <c r="AK64" s="72">
        <f t="shared" si="207"/>
        <v>-3028</v>
      </c>
      <c r="AL64" s="72">
        <f t="shared" si="207"/>
        <v>8415</v>
      </c>
      <c r="AM64" s="72">
        <f t="shared" si="207"/>
        <v>13476</v>
      </c>
      <c r="AN64" s="72">
        <f t="shared" si="207"/>
        <v>12613</v>
      </c>
      <c r="AO64" s="72">
        <f t="shared" si="207"/>
        <v>39160</v>
      </c>
      <c r="AP64" s="72">
        <f>AP41+AP61</f>
        <v>36754</v>
      </c>
    </row>
    <row r="65" spans="1:42" s="72" customFormat="1" x14ac:dyDescent="0.25">
      <c r="A65" s="79" t="s">
        <v>107</v>
      </c>
      <c r="C65" s="72">
        <f t="shared" ref="C65:AP65" si="208">C21*(1-C34)</f>
        <v>10056.537776812853</v>
      </c>
      <c r="D65" s="72">
        <f t="shared" si="208"/>
        <v>7598.7157573445256</v>
      </c>
      <c r="E65" s="72">
        <f t="shared" si="208"/>
        <v>8240.4162308228733</v>
      </c>
      <c r="F65" s="72">
        <f t="shared" si="208"/>
        <v>17898.505242463958</v>
      </c>
      <c r="G65" s="72">
        <f t="shared" si="208"/>
        <v>13359.953781512606</v>
      </c>
      <c r="H65" s="72">
        <f t="shared" si="208"/>
        <v>10389.289780971463</v>
      </c>
      <c r="I65" s="72">
        <f t="shared" si="208"/>
        <v>18060.624710047614</v>
      </c>
      <c r="J65" s="72">
        <f t="shared" si="208"/>
        <v>10400.74190354971</v>
      </c>
      <c r="K65" s="72">
        <f t="shared" si="208"/>
        <v>7500.055935962966</v>
      </c>
      <c r="L65" s="72">
        <f t="shared" si="208"/>
        <v>8723.12451171875</v>
      </c>
      <c r="M65" s="72">
        <f t="shared" si="208"/>
        <v>17283.534698097599</v>
      </c>
      <c r="N65" s="72">
        <f t="shared" si="208"/>
        <v>10588.110392263687</v>
      </c>
      <c r="O65" s="72">
        <f t="shared" si="208"/>
        <v>7524.9383895309966</v>
      </c>
      <c r="P65" s="72">
        <f t="shared" si="208"/>
        <v>10867.796489563569</v>
      </c>
      <c r="Q65" s="72">
        <f t="shared" si="208"/>
        <v>19503.803551609322</v>
      </c>
      <c r="R65" s="72">
        <f t="shared" si="208"/>
        <v>13587.757793171697</v>
      </c>
      <c r="S65" s="72">
        <f t="shared" si="208"/>
        <v>10936.286359530262</v>
      </c>
      <c r="T65" s="72">
        <f t="shared" si="208"/>
        <v>18033.640075258703</v>
      </c>
      <c r="U65" s="72">
        <f t="shared" si="208"/>
        <v>19497.318246465322</v>
      </c>
      <c r="V65" s="72">
        <f t="shared" si="208"/>
        <v>11244.168418763142</v>
      </c>
      <c r="W65" s="72">
        <f t="shared" si="208"/>
        <v>9734.525732516162</v>
      </c>
      <c r="X65" s="72">
        <f t="shared" si="208"/>
        <v>13289.842173670855</v>
      </c>
      <c r="Y65" s="72">
        <f t="shared" si="208"/>
        <v>21936.580137356279</v>
      </c>
      <c r="Z65" s="72">
        <f t="shared" si="208"/>
        <v>11007.491206699659</v>
      </c>
      <c r="AA65" s="72">
        <f t="shared" si="208"/>
        <v>11213.596939940626</v>
      </c>
      <c r="AB65" s="72">
        <f t="shared" si="208"/>
        <v>12565.839540970404</v>
      </c>
      <c r="AC65" s="72">
        <f t="shared" si="208"/>
        <v>28716.464754757439</v>
      </c>
      <c r="AD65" s="72">
        <f t="shared" si="208"/>
        <v>23201.452643604298</v>
      </c>
      <c r="AE65" s="72">
        <f t="shared" si="208"/>
        <v>21527.175674012065</v>
      </c>
      <c r="AF65" s="72">
        <f t="shared" si="208"/>
        <v>21026.58663110805</v>
      </c>
      <c r="AG65" s="72">
        <f t="shared" si="208"/>
        <v>34837.40549453214</v>
      </c>
      <c r="AH65" s="72">
        <f t="shared" si="208"/>
        <v>24877.228507913333</v>
      </c>
      <c r="AI65" s="72">
        <f t="shared" si="208"/>
        <v>19450.428856325329</v>
      </c>
      <c r="AJ65" s="72">
        <f t="shared" si="208"/>
        <v>-32075.456419316848</v>
      </c>
      <c r="AK65" s="72">
        <f t="shared" si="208"/>
        <v>30328.943884568958</v>
      </c>
      <c r="AL65" s="72">
        <f t="shared" si="208"/>
        <v>24105.520400253681</v>
      </c>
      <c r="AM65" s="72">
        <f t="shared" si="208"/>
        <v>20112.754057977392</v>
      </c>
      <c r="AN65" s="72">
        <f t="shared" si="208"/>
        <v>22931.341729016964</v>
      </c>
      <c r="AO65" s="72">
        <f t="shared" si="208"/>
        <v>33958.05540262381</v>
      </c>
      <c r="AP65" s="72">
        <f t="shared" si="208"/>
        <v>23502.901133366599</v>
      </c>
    </row>
    <row r="66" spans="1:42" s="72" customFormat="1" x14ac:dyDescent="0.25">
      <c r="A66" s="79"/>
    </row>
    <row r="67" spans="1:42" s="72" customFormat="1" x14ac:dyDescent="0.25">
      <c r="A67" s="79"/>
    </row>
    <row r="68" spans="1:42" x14ac:dyDescent="0.25">
      <c r="C68" s="72"/>
    </row>
    <row r="70" spans="1:42" x14ac:dyDescent="0.25">
      <c r="A70" s="11" t="s">
        <v>110</v>
      </c>
      <c r="C70" s="72">
        <f>SUM(C46:C47)-SUM(C55:C56)</f>
        <v>-14223</v>
      </c>
      <c r="D70" s="72">
        <f t="shared" ref="D70:AP70" si="209">SUM(D46:D47)-SUM(D55:D56)</f>
        <v>-29078</v>
      </c>
      <c r="E70" s="72">
        <f t="shared" si="209"/>
        <v>-41733</v>
      </c>
      <c r="F70" s="72">
        <f t="shared" si="209"/>
        <v>-32685</v>
      </c>
      <c r="G70" s="72">
        <f t="shared" si="209"/>
        <v>-17384</v>
      </c>
      <c r="H70" s="72">
        <f t="shared" si="209"/>
        <v>-41473</v>
      </c>
      <c r="I70" s="72">
        <f t="shared" si="209"/>
        <v>-41940</v>
      </c>
      <c r="J70" s="72">
        <f t="shared" si="209"/>
        <v>-33796</v>
      </c>
      <c r="K70" s="72">
        <f t="shared" si="209"/>
        <v>-33593</v>
      </c>
      <c r="L70" s="72">
        <f t="shared" si="209"/>
        <v>-42785</v>
      </c>
      <c r="M70" s="72">
        <f t="shared" si="209"/>
        <v>-45480</v>
      </c>
      <c r="N70" s="72">
        <f t="shared" si="209"/>
        <v>-37180</v>
      </c>
      <c r="O70" s="72">
        <f t="shared" si="209"/>
        <v>-39674</v>
      </c>
      <c r="P70" s="72">
        <f t="shared" si="209"/>
        <v>-52064</v>
      </c>
      <c r="Q70" s="72">
        <f t="shared" si="209"/>
        <v>-61405</v>
      </c>
      <c r="R70" s="72">
        <f t="shared" si="209"/>
        <v>-39081</v>
      </c>
      <c r="S70" s="72">
        <f t="shared" si="209"/>
        <v>-43633</v>
      </c>
      <c r="T70" s="72">
        <f t="shared" si="209"/>
        <v>-62073</v>
      </c>
      <c r="U70" s="72">
        <f t="shared" si="209"/>
        <v>-57931</v>
      </c>
      <c r="V70" s="72">
        <f t="shared" si="209"/>
        <v>-45842</v>
      </c>
      <c r="W70" s="72">
        <f t="shared" si="209"/>
        <v>-43285</v>
      </c>
      <c r="X70" s="72">
        <f t="shared" si="209"/>
        <v>-56924</v>
      </c>
      <c r="Y70" s="72">
        <f t="shared" si="209"/>
        <v>-56307</v>
      </c>
      <c r="Z70" s="72">
        <f t="shared" si="209"/>
        <v>-50689</v>
      </c>
      <c r="AA70" s="72">
        <f t="shared" si="209"/>
        <v>-48470</v>
      </c>
      <c r="AB70" s="72">
        <f t="shared" si="209"/>
        <v>-56924</v>
      </c>
      <c r="AC70" s="72">
        <f t="shared" si="209"/>
        <v>-80276</v>
      </c>
      <c r="AD70" s="72">
        <f t="shared" si="209"/>
        <v>-62065</v>
      </c>
      <c r="AE70" s="72">
        <f t="shared" si="209"/>
        <v>-38913</v>
      </c>
      <c r="AF70" s="72">
        <f t="shared" si="209"/>
        <v>-64799</v>
      </c>
      <c r="AG70" s="72">
        <f t="shared" si="209"/>
        <v>-87440</v>
      </c>
      <c r="AH70" s="72">
        <f t="shared" si="209"/>
        <v>-76655</v>
      </c>
      <c r="AI70" s="72">
        <f t="shared" si="209"/>
        <v>-69918</v>
      </c>
      <c r="AJ70" s="72">
        <f t="shared" si="209"/>
        <v>-91830</v>
      </c>
      <c r="AK70" s="72">
        <f t="shared" si="209"/>
        <v>-87239</v>
      </c>
      <c r="AL70" s="72">
        <f t="shared" si="209"/>
        <v>-73952</v>
      </c>
      <c r="AM70" s="72">
        <f t="shared" si="209"/>
        <v>-78696</v>
      </c>
      <c r="AN70" s="72">
        <f t="shared" si="209"/>
        <v>-85601</v>
      </c>
      <c r="AO70" s="72">
        <f t="shared" si="209"/>
        <v>-83052</v>
      </c>
      <c r="AP70" s="72">
        <f t="shared" si="209"/>
        <v>-75082</v>
      </c>
    </row>
    <row r="71" spans="1:42" x14ac:dyDescent="0.25">
      <c r="A71" s="11" t="s">
        <v>109</v>
      </c>
      <c r="C71" s="72">
        <f>C50</f>
        <v>17585</v>
      </c>
      <c r="D71" s="72">
        <f t="shared" ref="D71:AP71" si="210">D50</f>
        <v>20624</v>
      </c>
      <c r="E71" s="72">
        <f t="shared" si="210"/>
        <v>20392</v>
      </c>
      <c r="F71" s="72">
        <f t="shared" si="210"/>
        <v>20151</v>
      </c>
      <c r="G71" s="72">
        <f t="shared" si="210"/>
        <v>9291</v>
      </c>
      <c r="H71" s="72">
        <f t="shared" si="210"/>
        <v>22471</v>
      </c>
      <c r="I71" s="72">
        <f t="shared" si="210"/>
        <v>22300</v>
      </c>
      <c r="J71" s="72">
        <f t="shared" si="210"/>
        <v>23203</v>
      </c>
      <c r="K71" s="72">
        <f t="shared" si="210"/>
        <v>25448</v>
      </c>
      <c r="L71" s="72">
        <f t="shared" si="210"/>
        <v>27010</v>
      </c>
      <c r="M71" s="72">
        <f t="shared" si="210"/>
        <v>26510</v>
      </c>
      <c r="N71" s="72">
        <f t="shared" si="210"/>
        <v>27163</v>
      </c>
      <c r="O71" s="72">
        <f t="shared" si="210"/>
        <v>29286</v>
      </c>
      <c r="P71" s="72">
        <f t="shared" si="210"/>
        <v>33783</v>
      </c>
      <c r="Q71" s="72">
        <f t="shared" si="210"/>
        <v>33679</v>
      </c>
      <c r="R71" s="72">
        <f t="shared" si="210"/>
        <v>35077</v>
      </c>
      <c r="S71" s="72">
        <f t="shared" si="210"/>
        <v>38117</v>
      </c>
      <c r="T71" s="72">
        <f t="shared" si="210"/>
        <v>41304</v>
      </c>
      <c r="U71" s="72">
        <f t="shared" si="210"/>
        <v>39597</v>
      </c>
      <c r="V71" s="72">
        <f t="shared" si="210"/>
        <v>38746</v>
      </c>
      <c r="W71" s="72">
        <f t="shared" si="210"/>
        <v>37636</v>
      </c>
      <c r="X71" s="72">
        <f t="shared" si="210"/>
        <v>37378</v>
      </c>
      <c r="Y71" s="72">
        <f t="shared" si="210"/>
        <v>37031</v>
      </c>
      <c r="Z71" s="72">
        <f t="shared" si="210"/>
        <v>35889</v>
      </c>
      <c r="AA71" s="72">
        <f t="shared" si="210"/>
        <v>35687</v>
      </c>
      <c r="AB71" s="72">
        <f t="shared" si="210"/>
        <v>37378</v>
      </c>
      <c r="AC71" s="72">
        <f t="shared" si="210"/>
        <v>37933</v>
      </c>
      <c r="AD71" s="72">
        <f t="shared" si="210"/>
        <v>37815</v>
      </c>
      <c r="AE71" s="72">
        <f t="shared" si="210"/>
        <v>38615</v>
      </c>
      <c r="AF71" s="72">
        <f t="shared" si="210"/>
        <v>36766</v>
      </c>
      <c r="AG71" s="72">
        <f t="shared" si="210"/>
        <v>39245</v>
      </c>
      <c r="AH71" s="72">
        <f t="shared" si="210"/>
        <v>39304</v>
      </c>
      <c r="AI71" s="72">
        <f t="shared" si="210"/>
        <v>40335</v>
      </c>
      <c r="AJ71" s="72">
        <f t="shared" si="210"/>
        <v>42117</v>
      </c>
      <c r="AK71" s="72">
        <f t="shared" si="210"/>
        <v>42951</v>
      </c>
      <c r="AL71" s="72">
        <f t="shared" si="210"/>
        <v>43398</v>
      </c>
      <c r="AM71" s="72">
        <f t="shared" si="210"/>
        <v>43550</v>
      </c>
      <c r="AN71" s="72">
        <f t="shared" si="210"/>
        <v>43715</v>
      </c>
      <c r="AO71" s="72">
        <f t="shared" si="210"/>
        <v>43666</v>
      </c>
      <c r="AP71" s="72">
        <f t="shared" si="210"/>
        <v>43546</v>
      </c>
    </row>
    <row r="72" spans="1:42" x14ac:dyDescent="0.25">
      <c r="A72" s="11" t="s">
        <v>108</v>
      </c>
      <c r="C72" s="72">
        <f>C51</f>
        <v>6141</v>
      </c>
      <c r="D72" s="72">
        <f t="shared" ref="D72:AP72" si="211">D51</f>
        <v>8758</v>
      </c>
      <c r="E72" s="72">
        <f t="shared" si="211"/>
        <v>8999</v>
      </c>
      <c r="F72" s="72">
        <f t="shared" si="211"/>
        <v>8772</v>
      </c>
      <c r="G72" s="72">
        <f t="shared" si="211"/>
        <v>21149</v>
      </c>
      <c r="H72" s="72">
        <f t="shared" si="211"/>
        <v>9009</v>
      </c>
      <c r="I72" s="72">
        <f t="shared" si="211"/>
        <v>9126</v>
      </c>
      <c r="J72" s="72">
        <f t="shared" si="211"/>
        <v>9092</v>
      </c>
      <c r="K72" s="72">
        <f t="shared" si="211"/>
        <v>8767</v>
      </c>
      <c r="L72" s="72">
        <f t="shared" si="211"/>
        <v>8620</v>
      </c>
      <c r="M72" s="72">
        <f t="shared" si="211"/>
        <v>8271</v>
      </c>
      <c r="N72" s="72">
        <f t="shared" si="211"/>
        <v>8090</v>
      </c>
      <c r="O72" s="72">
        <f t="shared" si="211"/>
        <v>8105</v>
      </c>
      <c r="P72" s="72">
        <f t="shared" si="211"/>
        <v>8015</v>
      </c>
      <c r="Q72" s="72">
        <f t="shared" si="211"/>
        <v>8038</v>
      </c>
      <c r="R72" s="72">
        <f t="shared" si="211"/>
        <v>0</v>
      </c>
      <c r="S72" s="72">
        <f t="shared" si="211"/>
        <v>0</v>
      </c>
      <c r="T72" s="72">
        <f t="shared" si="211"/>
        <v>0</v>
      </c>
      <c r="U72" s="72">
        <f t="shared" si="211"/>
        <v>0</v>
      </c>
      <c r="V72" s="72">
        <f t="shared" si="211"/>
        <v>0</v>
      </c>
      <c r="W72" s="72">
        <f t="shared" si="211"/>
        <v>0</v>
      </c>
      <c r="X72" s="72">
        <f t="shared" si="211"/>
        <v>0</v>
      </c>
      <c r="Y72" s="72">
        <f t="shared" si="211"/>
        <v>0</v>
      </c>
      <c r="Z72" s="72">
        <f t="shared" si="211"/>
        <v>0</v>
      </c>
      <c r="AA72" s="72">
        <f t="shared" si="211"/>
        <v>0</v>
      </c>
      <c r="AB72" s="72">
        <f t="shared" si="211"/>
        <v>0</v>
      </c>
      <c r="AC72" s="72">
        <f t="shared" si="211"/>
        <v>0</v>
      </c>
      <c r="AD72" s="72">
        <f t="shared" si="211"/>
        <v>0</v>
      </c>
      <c r="AE72" s="72">
        <f t="shared" si="211"/>
        <v>0</v>
      </c>
      <c r="AF72" s="72">
        <f t="shared" si="211"/>
        <v>0</v>
      </c>
      <c r="AG72" s="72">
        <f t="shared" si="211"/>
        <v>0</v>
      </c>
      <c r="AH72" s="72">
        <f t="shared" si="211"/>
        <v>0</v>
      </c>
      <c r="AI72" s="72">
        <f t="shared" si="211"/>
        <v>0</v>
      </c>
      <c r="AJ72" s="72">
        <f t="shared" si="211"/>
        <v>0</v>
      </c>
      <c r="AK72" s="72">
        <f t="shared" si="211"/>
        <v>0</v>
      </c>
      <c r="AL72" s="72">
        <f t="shared" si="211"/>
        <v>0</v>
      </c>
      <c r="AM72" s="72">
        <f t="shared" si="211"/>
        <v>0</v>
      </c>
      <c r="AN72" s="72">
        <f t="shared" si="211"/>
        <v>0</v>
      </c>
      <c r="AO72" s="72">
        <f t="shared" si="211"/>
        <v>0</v>
      </c>
      <c r="AP72" s="72">
        <f t="shared" si="211"/>
        <v>0</v>
      </c>
    </row>
    <row r="73" spans="1:42" s="81" customFormat="1" x14ac:dyDescent="0.25">
      <c r="A73" s="80" t="s">
        <v>106</v>
      </c>
      <c r="C73" s="82">
        <f>SUM(C70:C72)</f>
        <v>9503</v>
      </c>
      <c r="D73" s="82">
        <f t="shared" ref="D73:AP73" si="212">SUM(D70:D72)</f>
        <v>304</v>
      </c>
      <c r="E73" s="82">
        <f t="shared" si="212"/>
        <v>-12342</v>
      </c>
      <c r="F73" s="82">
        <f t="shared" si="212"/>
        <v>-3762</v>
      </c>
      <c r="G73" s="82">
        <f t="shared" si="212"/>
        <v>13056</v>
      </c>
      <c r="H73" s="82">
        <f t="shared" si="212"/>
        <v>-9993</v>
      </c>
      <c r="I73" s="82">
        <f t="shared" si="212"/>
        <v>-10514</v>
      </c>
      <c r="J73" s="82">
        <f t="shared" si="212"/>
        <v>-1501</v>
      </c>
      <c r="K73" s="82">
        <f t="shared" si="212"/>
        <v>622</v>
      </c>
      <c r="L73" s="82">
        <f t="shared" si="212"/>
        <v>-7155</v>
      </c>
      <c r="M73" s="82">
        <f t="shared" si="212"/>
        <v>-10699</v>
      </c>
      <c r="N73" s="82">
        <f t="shared" si="212"/>
        <v>-1927</v>
      </c>
      <c r="O73" s="82">
        <f t="shared" si="212"/>
        <v>-2283</v>
      </c>
      <c r="P73" s="82">
        <f t="shared" si="212"/>
        <v>-10266</v>
      </c>
      <c r="Q73" s="82">
        <f t="shared" si="212"/>
        <v>-19688</v>
      </c>
      <c r="R73" s="82">
        <f t="shared" si="212"/>
        <v>-4004</v>
      </c>
      <c r="S73" s="82">
        <f t="shared" si="212"/>
        <v>-5516</v>
      </c>
      <c r="T73" s="82">
        <f t="shared" si="212"/>
        <v>-20769</v>
      </c>
      <c r="U73" s="82">
        <f t="shared" si="212"/>
        <v>-18334</v>
      </c>
      <c r="V73" s="82">
        <f t="shared" si="212"/>
        <v>-7096</v>
      </c>
      <c r="W73" s="82">
        <f t="shared" si="212"/>
        <v>-5649</v>
      </c>
      <c r="X73" s="82">
        <f t="shared" si="212"/>
        <v>-19546</v>
      </c>
      <c r="Y73" s="82">
        <f t="shared" si="212"/>
        <v>-19276</v>
      </c>
      <c r="Z73" s="82">
        <f t="shared" si="212"/>
        <v>-14800</v>
      </c>
      <c r="AA73" s="82">
        <f t="shared" si="212"/>
        <v>-12783</v>
      </c>
      <c r="AB73" s="82">
        <f t="shared" si="212"/>
        <v>-19546</v>
      </c>
      <c r="AC73" s="82">
        <f t="shared" si="212"/>
        <v>-42343</v>
      </c>
      <c r="AD73" s="82">
        <f t="shared" si="212"/>
        <v>-24250</v>
      </c>
      <c r="AE73" s="82">
        <f t="shared" si="212"/>
        <v>-298</v>
      </c>
      <c r="AF73" s="82">
        <f t="shared" si="212"/>
        <v>-28033</v>
      </c>
      <c r="AG73" s="82">
        <f t="shared" si="212"/>
        <v>-48195</v>
      </c>
      <c r="AH73" s="82">
        <f t="shared" si="212"/>
        <v>-37351</v>
      </c>
      <c r="AI73" s="82">
        <f t="shared" si="212"/>
        <v>-29583</v>
      </c>
      <c r="AJ73" s="82">
        <f t="shared" si="212"/>
        <v>-49713</v>
      </c>
      <c r="AK73" s="82">
        <f t="shared" si="212"/>
        <v>-44288</v>
      </c>
      <c r="AL73" s="82">
        <f t="shared" si="212"/>
        <v>-30554</v>
      </c>
      <c r="AM73" s="82">
        <f t="shared" si="212"/>
        <v>-35146</v>
      </c>
      <c r="AN73" s="82">
        <f t="shared" si="212"/>
        <v>-41886</v>
      </c>
      <c r="AO73" s="82">
        <f t="shared" si="212"/>
        <v>-39386</v>
      </c>
      <c r="AP73" s="82">
        <f t="shared" si="212"/>
        <v>-31536</v>
      </c>
    </row>
    <row r="75" spans="1:42" x14ac:dyDescent="0.25">
      <c r="A75" s="11" t="s">
        <v>111</v>
      </c>
      <c r="C75" s="72">
        <f>C58-C45</f>
        <v>-6765</v>
      </c>
      <c r="D75" s="72">
        <f t="shared" ref="D75:AP75" si="213">D58-D45</f>
        <v>10218</v>
      </c>
      <c r="E75" s="72">
        <f t="shared" si="213"/>
        <v>3940</v>
      </c>
      <c r="F75" s="72">
        <f t="shared" si="213"/>
        <v>10775</v>
      </c>
      <c r="G75" s="72">
        <f t="shared" si="213"/>
        <v>69616</v>
      </c>
      <c r="H75" s="72">
        <f t="shared" si="213"/>
        <v>22861</v>
      </c>
      <c r="I75" s="72">
        <f t="shared" si="213"/>
        <v>-152776</v>
      </c>
      <c r="J75" s="72">
        <f t="shared" si="213"/>
        <v>24589</v>
      </c>
      <c r="K75" s="72">
        <f t="shared" si="213"/>
        <v>23179</v>
      </c>
      <c r="L75" s="72">
        <f t="shared" si="213"/>
        <v>-2693</v>
      </c>
      <c r="M75" s="72">
        <f t="shared" si="213"/>
        <v>27097</v>
      </c>
      <c r="N75" s="72">
        <f t="shared" si="213"/>
        <v>31421</v>
      </c>
      <c r="O75" s="72">
        <f t="shared" si="213"/>
        <v>31580</v>
      </c>
      <c r="P75" s="72">
        <f t="shared" si="213"/>
        <v>41499</v>
      </c>
      <c r="Q75" s="72">
        <f t="shared" si="213"/>
        <v>45247</v>
      </c>
      <c r="R75" s="72">
        <f t="shared" si="213"/>
        <v>33900</v>
      </c>
      <c r="S75" s="72">
        <f t="shared" si="213"/>
        <v>43630</v>
      </c>
      <c r="T75" s="72">
        <f t="shared" si="213"/>
        <v>48182</v>
      </c>
      <c r="U75" s="72">
        <f t="shared" si="213"/>
        <v>28303</v>
      </c>
      <c r="V75" s="72">
        <f t="shared" si="213"/>
        <v>32538</v>
      </c>
      <c r="W75" s="72">
        <f t="shared" si="213"/>
        <v>13804</v>
      </c>
      <c r="X75" s="72">
        <f t="shared" si="213"/>
        <v>7490</v>
      </c>
      <c r="Y75" s="72">
        <f t="shared" si="213"/>
        <v>1130</v>
      </c>
      <c r="Z75" s="72">
        <f t="shared" si="213"/>
        <v>15456</v>
      </c>
      <c r="AA75" s="72">
        <f t="shared" si="213"/>
        <v>19698</v>
      </c>
      <c r="AB75" s="72">
        <f t="shared" si="213"/>
        <v>7490</v>
      </c>
      <c r="AC75" s="72">
        <f t="shared" si="213"/>
        <v>35217</v>
      </c>
      <c r="AD75" s="72">
        <f t="shared" si="213"/>
        <v>51811</v>
      </c>
      <c r="AE75" s="72">
        <f t="shared" si="213"/>
        <v>60095</v>
      </c>
      <c r="AF75" s="72">
        <f t="shared" si="213"/>
        <v>21493</v>
      </c>
      <c r="AG75" s="72">
        <f t="shared" si="213"/>
        <v>58885</v>
      </c>
      <c r="AH75" s="72">
        <f t="shared" si="213"/>
        <v>68470</v>
      </c>
      <c r="AI75" s="72">
        <f t="shared" si="213"/>
        <v>71460</v>
      </c>
      <c r="AJ75" s="72">
        <f t="shared" si="213"/>
        <v>71765</v>
      </c>
      <c r="AK75" s="72">
        <f t="shared" si="213"/>
        <v>59755</v>
      </c>
      <c r="AL75" s="72">
        <f t="shared" si="213"/>
        <v>53743</v>
      </c>
      <c r="AM75" s="72">
        <f t="shared" si="213"/>
        <v>46798</v>
      </c>
      <c r="AN75" s="72">
        <f t="shared" si="213"/>
        <v>49533</v>
      </c>
      <c r="AO75" s="72">
        <f t="shared" si="213"/>
        <v>34940</v>
      </c>
      <c r="AP75" s="72">
        <f t="shared" si="213"/>
        <v>37440</v>
      </c>
    </row>
    <row r="76" spans="1:42" x14ac:dyDescent="0.25">
      <c r="A76" s="11" t="s">
        <v>112</v>
      </c>
      <c r="C76" s="72">
        <f>C61</f>
        <v>120940</v>
      </c>
      <c r="D76" s="72">
        <f t="shared" ref="D76:AP76" si="214">D61</f>
        <v>111547</v>
      </c>
      <c r="E76" s="72">
        <f t="shared" si="214"/>
        <v>123328</v>
      </c>
      <c r="F76" s="72">
        <f t="shared" si="214"/>
        <v>129006</v>
      </c>
      <c r="G76" s="72">
        <f t="shared" si="214"/>
        <v>126541</v>
      </c>
      <c r="H76" s="72">
        <f t="shared" si="214"/>
        <v>119355</v>
      </c>
      <c r="I76" s="72">
        <f t="shared" si="214"/>
        <v>128267</v>
      </c>
      <c r="J76" s="72">
        <f t="shared" si="214"/>
        <v>130457</v>
      </c>
      <c r="K76" s="72">
        <f t="shared" si="214"/>
        <v>126541</v>
      </c>
      <c r="L76" s="72">
        <f t="shared" si="214"/>
        <v>119355</v>
      </c>
      <c r="M76" s="72">
        <f t="shared" si="214"/>
        <v>132390</v>
      </c>
      <c r="N76" s="72">
        <f t="shared" si="214"/>
        <v>134082</v>
      </c>
      <c r="O76" s="72">
        <f t="shared" si="214"/>
        <v>132425</v>
      </c>
      <c r="P76" s="72">
        <f t="shared" si="214"/>
        <v>134047</v>
      </c>
      <c r="Q76" s="72">
        <f t="shared" si="214"/>
        <v>140199</v>
      </c>
      <c r="R76" s="72">
        <f t="shared" si="214"/>
        <v>126878</v>
      </c>
      <c r="S76" s="72">
        <f t="shared" si="214"/>
        <v>114949</v>
      </c>
      <c r="T76" s="72">
        <f t="shared" si="214"/>
        <v>117892</v>
      </c>
      <c r="U76" s="72">
        <f t="shared" si="214"/>
        <v>117892</v>
      </c>
      <c r="V76" s="72">
        <f t="shared" si="214"/>
        <v>105860</v>
      </c>
      <c r="W76" s="72">
        <f t="shared" si="214"/>
        <v>96456</v>
      </c>
      <c r="X76" s="72">
        <f t="shared" si="214"/>
        <v>90488</v>
      </c>
      <c r="Y76" s="72">
        <f t="shared" si="214"/>
        <v>89531</v>
      </c>
      <c r="Z76" s="72">
        <f t="shared" si="214"/>
        <v>78425</v>
      </c>
      <c r="AA76" s="72">
        <f t="shared" si="214"/>
        <v>72282</v>
      </c>
      <c r="AB76" s="72">
        <f t="shared" si="214"/>
        <v>90488</v>
      </c>
      <c r="AC76" s="72">
        <f t="shared" si="214"/>
        <v>66224</v>
      </c>
      <c r="AD76" s="72">
        <f t="shared" si="214"/>
        <v>69178</v>
      </c>
      <c r="AE76" s="72">
        <f t="shared" si="214"/>
        <v>64280</v>
      </c>
      <c r="AF76" s="72">
        <f t="shared" si="214"/>
        <v>65339</v>
      </c>
      <c r="AG76" s="72">
        <f t="shared" si="214"/>
        <v>71932</v>
      </c>
      <c r="AH76" s="72">
        <f t="shared" si="214"/>
        <v>67399</v>
      </c>
      <c r="AI76" s="72">
        <f t="shared" si="214"/>
        <v>58107</v>
      </c>
      <c r="AJ76" s="72">
        <f t="shared" si="214"/>
        <v>50672</v>
      </c>
      <c r="AK76" s="72">
        <f t="shared" si="214"/>
        <v>56727</v>
      </c>
      <c r="AL76" s="72">
        <f t="shared" si="214"/>
        <v>62158</v>
      </c>
      <c r="AM76" s="72">
        <f t="shared" si="214"/>
        <v>60274</v>
      </c>
      <c r="AN76" s="72">
        <f t="shared" si="214"/>
        <v>62146</v>
      </c>
      <c r="AO76" s="72">
        <f t="shared" si="214"/>
        <v>74100</v>
      </c>
      <c r="AP76" s="72">
        <f t="shared" si="214"/>
        <v>74194</v>
      </c>
    </row>
    <row r="77" spans="1:42" s="81" customFormat="1" x14ac:dyDescent="0.25">
      <c r="A77" s="80" t="s">
        <v>113</v>
      </c>
      <c r="C77" s="82">
        <f>SUM(C75:C76)</f>
        <v>114175</v>
      </c>
      <c r="D77" s="82">
        <f t="shared" ref="D77:AP77" si="215">SUM(D75:D76)</f>
        <v>121765</v>
      </c>
      <c r="E77" s="82">
        <f t="shared" si="215"/>
        <v>127268</v>
      </c>
      <c r="F77" s="82">
        <f t="shared" si="215"/>
        <v>139781</v>
      </c>
      <c r="G77" s="82">
        <f t="shared" si="215"/>
        <v>196157</v>
      </c>
      <c r="H77" s="82">
        <f t="shared" si="215"/>
        <v>142216</v>
      </c>
      <c r="I77" s="82">
        <f t="shared" si="215"/>
        <v>-24509</v>
      </c>
      <c r="J77" s="82">
        <f t="shared" si="215"/>
        <v>155046</v>
      </c>
      <c r="K77" s="82">
        <f t="shared" si="215"/>
        <v>149720</v>
      </c>
      <c r="L77" s="82">
        <f t="shared" si="215"/>
        <v>116662</v>
      </c>
      <c r="M77" s="82">
        <f t="shared" si="215"/>
        <v>159487</v>
      </c>
      <c r="N77" s="82">
        <f t="shared" si="215"/>
        <v>165503</v>
      </c>
      <c r="O77" s="82">
        <f t="shared" si="215"/>
        <v>164005</v>
      </c>
      <c r="P77" s="82">
        <f t="shared" si="215"/>
        <v>175546</v>
      </c>
      <c r="Q77" s="82">
        <f t="shared" si="215"/>
        <v>185446</v>
      </c>
      <c r="R77" s="82">
        <f t="shared" si="215"/>
        <v>160778</v>
      </c>
      <c r="S77" s="82">
        <f t="shared" si="215"/>
        <v>158579</v>
      </c>
      <c r="T77" s="82">
        <f t="shared" si="215"/>
        <v>166074</v>
      </c>
      <c r="U77" s="82">
        <f t="shared" si="215"/>
        <v>146195</v>
      </c>
      <c r="V77" s="82">
        <f t="shared" si="215"/>
        <v>138398</v>
      </c>
      <c r="W77" s="82">
        <f t="shared" si="215"/>
        <v>110260</v>
      </c>
      <c r="X77" s="82">
        <f t="shared" si="215"/>
        <v>97978</v>
      </c>
      <c r="Y77" s="82">
        <f t="shared" si="215"/>
        <v>90661</v>
      </c>
      <c r="Z77" s="82">
        <f t="shared" si="215"/>
        <v>93881</v>
      </c>
      <c r="AA77" s="82">
        <f t="shared" si="215"/>
        <v>91980</v>
      </c>
      <c r="AB77" s="82">
        <f t="shared" si="215"/>
        <v>97978</v>
      </c>
      <c r="AC77" s="82">
        <f t="shared" si="215"/>
        <v>101441</v>
      </c>
      <c r="AD77" s="82">
        <f t="shared" si="215"/>
        <v>120989</v>
      </c>
      <c r="AE77" s="82">
        <f t="shared" si="215"/>
        <v>124375</v>
      </c>
      <c r="AF77" s="82">
        <f t="shared" si="215"/>
        <v>86832</v>
      </c>
      <c r="AG77" s="82">
        <f t="shared" si="215"/>
        <v>130817</v>
      </c>
      <c r="AH77" s="82">
        <f t="shared" si="215"/>
        <v>135869</v>
      </c>
      <c r="AI77" s="82">
        <f t="shared" si="215"/>
        <v>129567</v>
      </c>
      <c r="AJ77" s="82">
        <f t="shared" si="215"/>
        <v>122437</v>
      </c>
      <c r="AK77" s="82">
        <f t="shared" si="215"/>
        <v>116482</v>
      </c>
      <c r="AL77" s="82">
        <f t="shared" si="215"/>
        <v>115901</v>
      </c>
      <c r="AM77" s="82">
        <f t="shared" si="215"/>
        <v>107072</v>
      </c>
      <c r="AN77" s="82">
        <f t="shared" si="215"/>
        <v>111679</v>
      </c>
      <c r="AO77" s="82">
        <f t="shared" si="215"/>
        <v>109040</v>
      </c>
      <c r="AP77" s="82">
        <f t="shared" si="215"/>
        <v>111634</v>
      </c>
    </row>
  </sheetData>
  <phoneticPr fontId="2" type="noConversion"/>
  <hyperlinks>
    <hyperlink ref="A1" location="Main!A1" display="Main" xr:uid="{0A5AA449-824E-46A4-A467-7D2DA8B6CF49}"/>
  </hyperlinks>
  <pageMargins left="0.7" right="0.7" top="0.75" bottom="0.75" header="0.3" footer="0.3"/>
  <ignoredErrors>
    <ignoredError sqref="AU20:AV21 AU25:AV26" formulaRange="1"/>
    <ignoredError sqref="AU17:AV17 AU23:AV23" formula="1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2024-04-05T13:11:27Z</dcterms:created>
  <dcterms:modified xsi:type="dcterms:W3CDTF">2024-05-28T21:36:01Z</dcterms:modified>
</cp:coreProperties>
</file>