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/>
  <mc:AlternateContent xmlns:mc="http://schemas.openxmlformats.org/markup-compatibility/2006">
    <mc:Choice Requires="x15">
      <x15ac:absPath xmlns:x15ac="http://schemas.microsoft.com/office/spreadsheetml/2010/11/ac" url="https://d.docs.live.net/c057fd7477d87051/Desktop/Kaupandi ehf/Greiningar/"/>
    </mc:Choice>
  </mc:AlternateContent>
  <xr:revisionPtr revIDLastSave="469" documentId="8_{195876AE-466C-4C74-AB18-B26B53601E51}" xr6:coauthVersionLast="47" xr6:coauthVersionMax="47" xr10:uidLastSave="{9AD3F4D5-99B7-42E5-9CAE-D9577A0239D8}"/>
  <bookViews>
    <workbookView xWindow="-105" yWindow="0" windowWidth="14610" windowHeight="16305" activeTab="1" xr2:uid="{0795FDE5-AA34-488B-95AE-AD6E062B77C7}"/>
  </bookViews>
  <sheets>
    <sheet name="ALB" sheetId="1" r:id="rId1"/>
    <sheet name="Mode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1" i="2" l="1"/>
  <c r="H79" i="2"/>
  <c r="H81" i="2"/>
  <c r="H80" i="2"/>
  <c r="H67" i="2"/>
  <c r="H53" i="2"/>
  <c r="K42" i="2"/>
  <c r="K40" i="2"/>
  <c r="K49" i="2"/>
  <c r="K51" i="2" s="1"/>
  <c r="K37" i="2"/>
  <c r="K38" i="2" s="1"/>
  <c r="E21" i="2"/>
  <c r="F21" i="2"/>
  <c r="J21" i="2"/>
  <c r="I21" i="2"/>
  <c r="H21" i="2"/>
  <c r="G21" i="2"/>
  <c r="K21" i="2"/>
  <c r="J20" i="2"/>
  <c r="I20" i="2"/>
  <c r="H20" i="2"/>
  <c r="K20" i="2"/>
  <c r="V18" i="2"/>
  <c r="V15" i="2"/>
  <c r="V11" i="2"/>
  <c r="V10" i="2"/>
  <c r="V8" i="2"/>
  <c r="V7" i="2"/>
  <c r="V6" i="2"/>
  <c r="V4" i="2"/>
  <c r="V3" i="2"/>
  <c r="W18" i="2"/>
  <c r="W15" i="2"/>
  <c r="W11" i="2"/>
  <c r="W10" i="2"/>
  <c r="W8" i="2"/>
  <c r="W7" i="2"/>
  <c r="W6" i="2"/>
  <c r="W4" i="2"/>
  <c r="W3" i="2"/>
  <c r="W20" i="2" s="1"/>
  <c r="D13" i="2"/>
  <c r="H13" i="2"/>
  <c r="D5" i="2"/>
  <c r="H5" i="2"/>
  <c r="E13" i="2"/>
  <c r="I13" i="2"/>
  <c r="E5" i="2"/>
  <c r="I5" i="2"/>
  <c r="F13" i="2"/>
  <c r="F5" i="2"/>
  <c r="J13" i="2"/>
  <c r="J5" i="2"/>
  <c r="G13" i="2"/>
  <c r="G5" i="2"/>
  <c r="K13" i="2"/>
  <c r="K5" i="2"/>
  <c r="L6" i="1"/>
  <c r="L8" i="1"/>
  <c r="L4" i="1"/>
  <c r="K9" i="2" l="1"/>
  <c r="K23" i="2"/>
  <c r="G9" i="2"/>
  <c r="G24" i="2" s="1"/>
  <c r="G23" i="2"/>
  <c r="J9" i="2"/>
  <c r="J23" i="2"/>
  <c r="F9" i="2"/>
  <c r="F23" i="2"/>
  <c r="I9" i="2"/>
  <c r="I23" i="2"/>
  <c r="E9" i="2"/>
  <c r="E23" i="2"/>
  <c r="H9" i="2"/>
  <c r="H23" i="2"/>
  <c r="W5" i="2"/>
  <c r="W23" i="2" s="1"/>
  <c r="D9" i="2"/>
  <c r="D23" i="2"/>
  <c r="V5" i="2"/>
  <c r="V23" i="2" s="1"/>
  <c r="W13" i="2"/>
  <c r="V13" i="2"/>
  <c r="G12" i="2"/>
  <c r="L7" i="1"/>
  <c r="G14" i="2" l="1"/>
  <c r="G16" i="2" s="1"/>
  <c r="G26" i="2"/>
  <c r="D12" i="2"/>
  <c r="D24" i="2"/>
  <c r="V9" i="2"/>
  <c r="V24" i="2" s="1"/>
  <c r="H12" i="2"/>
  <c r="H24" i="2"/>
  <c r="W9" i="2"/>
  <c r="W24" i="2" s="1"/>
  <c r="E12" i="2"/>
  <c r="E24" i="2"/>
  <c r="I12" i="2"/>
  <c r="I24" i="2"/>
  <c r="F12" i="2"/>
  <c r="F24" i="2"/>
  <c r="J12" i="2"/>
  <c r="J24" i="2"/>
  <c r="K12" i="2"/>
  <c r="K24" i="2"/>
  <c r="K14" i="2" l="1"/>
  <c r="K16" i="2" s="1"/>
  <c r="K26" i="2"/>
  <c r="J26" i="2"/>
  <c r="J14" i="2"/>
  <c r="J16" i="2" s="1"/>
  <c r="F26" i="2"/>
  <c r="F14" i="2"/>
  <c r="F16" i="2" s="1"/>
  <c r="I26" i="2"/>
  <c r="I14" i="2"/>
  <c r="I16" i="2" s="1"/>
  <c r="E26" i="2"/>
  <c r="E14" i="2"/>
  <c r="E16" i="2" s="1"/>
  <c r="W12" i="2"/>
  <c r="W26" i="2" s="1"/>
  <c r="H26" i="2"/>
  <c r="H14" i="2"/>
  <c r="V12" i="2"/>
  <c r="V26" i="2" s="1"/>
  <c r="D14" i="2"/>
  <c r="D26" i="2"/>
  <c r="G17" i="2"/>
  <c r="G25" i="2"/>
  <c r="V14" i="2" l="1"/>
  <c r="D16" i="2"/>
  <c r="H16" i="2"/>
  <c r="W14" i="2"/>
  <c r="E17" i="2"/>
  <c r="E25" i="2"/>
  <c r="I17" i="2"/>
  <c r="I25" i="2"/>
  <c r="F17" i="2"/>
  <c r="F25" i="2"/>
  <c r="J17" i="2"/>
  <c r="J25" i="2"/>
  <c r="K17" i="2"/>
  <c r="K25" i="2"/>
  <c r="H17" i="2" l="1"/>
  <c r="W17" i="2" s="1"/>
  <c r="H25" i="2"/>
  <c r="W16" i="2"/>
  <c r="W25" i="2" s="1"/>
  <c r="D17" i="2"/>
  <c r="V17" i="2" s="1"/>
  <c r="D25" i="2"/>
  <c r="V16" i="2"/>
  <c r="V25" i="2" s="1"/>
</calcChain>
</file>

<file path=xl/sharedStrings.xml><?xml version="1.0" encoding="utf-8"?>
<sst xmlns="http://schemas.openxmlformats.org/spreadsheetml/2006/main" count="113" uniqueCount="106">
  <si>
    <t>ALB</t>
  </si>
  <si>
    <t>ALBEMARLE CORPORATION</t>
  </si>
  <si>
    <t>Price</t>
  </si>
  <si>
    <t>Shares</t>
  </si>
  <si>
    <t>Incorporated in Virginia in 1993</t>
  </si>
  <si>
    <t>MC</t>
  </si>
  <si>
    <t>Transforms resources into ingredients for mobility, energy, connectivity and health.</t>
  </si>
  <si>
    <t>Cash</t>
  </si>
  <si>
    <t>25 production and R&amp;D facilities, as well as number of offices around the world.</t>
  </si>
  <si>
    <t>Debt</t>
  </si>
  <si>
    <t>As of December 31, 2023 - 1900 customers in 70 countries.</t>
  </si>
  <si>
    <t>EV</t>
  </si>
  <si>
    <t>Net Cash</t>
  </si>
  <si>
    <t>Competitors</t>
  </si>
  <si>
    <t>Sociedad Quimica y Minera - Chile</t>
  </si>
  <si>
    <t>CEO</t>
  </si>
  <si>
    <t>Jerry Kent Masters</t>
  </si>
  <si>
    <t>Sichuan Tianqi Lithium</t>
  </si>
  <si>
    <t>Jiangxi Ganfeng Lithium</t>
  </si>
  <si>
    <t>Rio Tinto plc</t>
  </si>
  <si>
    <t>Pilbara Minerals</t>
  </si>
  <si>
    <t>Aracdium Lithium</t>
  </si>
  <si>
    <t xml:space="preserve">Tesla </t>
  </si>
  <si>
    <t>We obtain lithium: by purchasing lithium concentrate from our 49% owned joint</t>
  </si>
  <si>
    <t>venture, Windfield Holdings Pty. Ltd. Which directly owns 100% of Talison Lithium</t>
  </si>
  <si>
    <t>Both are incorporated in Australia.</t>
  </si>
  <si>
    <t>Main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</si>
  <si>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</si>
  <si>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</si>
  <si>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</si>
  <si>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</si>
  <si>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</si>
  <si>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</si>
  <si>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</si>
  <si>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</si>
  <si>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</si>
  <si>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</si>
  <si>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</si>
  <si>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</si>
  <si>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Revenue</t>
  </si>
  <si>
    <t>COGS</t>
  </si>
  <si>
    <t>Gross Profit</t>
  </si>
  <si>
    <t>SG&amp;A</t>
  </si>
  <si>
    <t>R&amp;D</t>
  </si>
  <si>
    <t>Change in interest in properties/sale of business</t>
  </si>
  <si>
    <t>Operating Income</t>
  </si>
  <si>
    <t>Interest</t>
  </si>
  <si>
    <t>Other expenses</t>
  </si>
  <si>
    <t>Pretax</t>
  </si>
  <si>
    <t>Taxes</t>
  </si>
  <si>
    <t>Before equity</t>
  </si>
  <si>
    <t>Equity in net income</t>
  </si>
  <si>
    <t>Net income</t>
  </si>
  <si>
    <t>EPS</t>
  </si>
  <si>
    <t>Revenue Y/Y</t>
  </si>
  <si>
    <t>Revenue Q/Q</t>
  </si>
  <si>
    <t>Gross Margin %</t>
  </si>
  <si>
    <t>Operating Margin %</t>
  </si>
  <si>
    <t>Net Margin %</t>
  </si>
  <si>
    <t>Tax Rate %</t>
  </si>
  <si>
    <t>A/R</t>
  </si>
  <si>
    <t>OAR</t>
  </si>
  <si>
    <t>Inventories</t>
  </si>
  <si>
    <t>OCA</t>
  </si>
  <si>
    <t>PP&amp;E</t>
  </si>
  <si>
    <t>D&amp;A</t>
  </si>
  <si>
    <t>Investments</t>
  </si>
  <si>
    <t>OA</t>
  </si>
  <si>
    <t>Goodwill + Intangibles</t>
  </si>
  <si>
    <t>Assets</t>
  </si>
  <si>
    <t>A/P</t>
  </si>
  <si>
    <t>Accrued Expenses</t>
  </si>
  <si>
    <t>Dividends</t>
  </si>
  <si>
    <t>Taxes Payable</t>
  </si>
  <si>
    <t>Benefits</t>
  </si>
  <si>
    <t>Pension</t>
  </si>
  <si>
    <t>ONCL</t>
  </si>
  <si>
    <t>DT</t>
  </si>
  <si>
    <t>Liabilities</t>
  </si>
  <si>
    <t>SE</t>
  </si>
  <si>
    <t>L + SE</t>
  </si>
  <si>
    <t>Model NI</t>
  </si>
  <si>
    <t>Reported NI</t>
  </si>
  <si>
    <t>Interest properties</t>
  </si>
  <si>
    <t>SBC</t>
  </si>
  <si>
    <t>Dividends received</t>
  </si>
  <si>
    <t>Pension benefit</t>
  </si>
  <si>
    <t>Pension contributions</t>
  </si>
  <si>
    <t>Unrealized for investments in securities</t>
  </si>
  <si>
    <t>WC Changes</t>
  </si>
  <si>
    <t>Non-cash transfer Kemerton plant to MRL</t>
  </si>
  <si>
    <t>CFFO</t>
  </si>
  <si>
    <t>CapEx</t>
  </si>
  <si>
    <t>Purchases / Sales of securities</t>
  </si>
  <si>
    <t>Investments in equity</t>
  </si>
  <si>
    <t>CFFI</t>
  </si>
  <si>
    <t>Proceeds from borrowing</t>
  </si>
  <si>
    <t>Other debt repayments</t>
  </si>
  <si>
    <t>Dividends paid to shareholders</t>
  </si>
  <si>
    <t>Dividends paid to noncontrolling interest</t>
  </si>
  <si>
    <t>Proceeds from exercice of options</t>
  </si>
  <si>
    <t>Witholding taxes paid on SBC</t>
  </si>
  <si>
    <t>Other</t>
  </si>
  <si>
    <t>CFFF</t>
  </si>
  <si>
    <t>Cash Flow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</si>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</sst>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2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5" xfId="0" applyFont="1" applyBorder="1"/>
    <xf numFmtId="0" fontId="5" fillId="0" borderId="6" xfId="0" applyFont="1" applyBorder="1"/>
    <xf numFmtId="0" fontId="5" fillId="0" borderId="1" xfId="0" applyFont="1" applyBorder="1"/>
    <xf numFmtId="3" fontId="5" fillId="0" borderId="2" xfId="0" applyNumberFormat="1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2" fillId="0" borderId="0" xfId="0" applyFont="1" applyAlignment="1">
      <alignment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4" fontId="7" fillId="0" borderId="0" xfId="0" applyNumberFormat="1" applyFont="1"/>
    <xf numFmtId="3" fontId="7" fillId="0" borderId="0" xfId="0" applyNumberFormat="1" applyFont="1"/>
    <xf numFmtId="0" fontId="8" fillId="0" borderId="0" xfId="0" applyFont="1"/>
    <xf numFmtId="0" fontId="7" fillId="0" borderId="9" xfId="0" applyFont="1" applyBorder="1"/>
    <xf numFmtId="9" fontId="7" fillId="0" borderId="9" xfId="0" applyNumberFormat="1" applyFont="1" applyBorder="1"/>
    <xf numFmtId="0" fontId="7" fillId="0" borderId="10" xfId="0" applyFont="1" applyBorder="1"/>
    <xf numFmtId="9" fontId="7" fillId="0" borderId="10" xfId="0" applyNumberFormat="1" applyFont="1" applyBorder="1"/>
    <xf numFmtId="4" fontId="7" fillId="0" borderId="11" xfId="0" applyNumberFormat="1" applyFont="1" applyBorder="1"/>
    <xf numFmtId="3" fontId="7" fillId="0" borderId="11" xfId="0" applyNumberFormat="1" applyFont="1" applyBorder="1"/>
    <xf numFmtId="0" fontId="7" fillId="0" borderId="0" xfId="0" applyFont="1" applyBorder="1"/>
    <xf numFmtId="9" fontId="7" fillId="0" borderId="0" xfId="0" applyNumberFormat="1" applyFont="1" applyBorder="1"/>
    <xf numFmtId="0" fontId="7" fillId="0" borderId="0" xfId="0" applyFont="1"/>
    <xf numFmtId="0" fontId="0" fillId="0" borderId="12" xfId="0" applyBorder="1"/>
    <xf numFmtId="3" fontId="0" fillId="0" borderId="12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171450</xdr:rowOff>
    </xdr:from>
    <xdr:to>
      <xdr:col>11</xdr:col>
      <xdr:colOff>0</xdr:colOff>
      <xdr:row>35</xdr:row>
      <xdr:rowOff>142875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D1B80DD3-CC91-350B-3F28-8DA90739BA58}"/>
            </a:ext>
          </a:extLst>
        </xdr:cNvPr>
        <xdr:cNvCxnSpPr>
          <a:cxnSpLocks/>
        </xdr:cNvCxnSpPr>
      </xdr:nvCxnSpPr>
      <xdr:spPr>
        <a:xfrm>
          <a:off x="7277100" y="171450"/>
          <a:ext cx="0" cy="6638925"/>
        </a:xfrm>
        <a:prstGeom prst="line">
          <a:avLst/>
        </a:prstGeom>
        <a:ln w="635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</xdr:row>
      <xdr:rowOff>0</xdr:rowOff>
    </xdr:from>
    <xdr:to>
      <xdr:col>23</xdr:col>
      <xdr:colOff>0</xdr:colOff>
      <xdr:row>35</xdr:row>
      <xdr:rowOff>161925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C773396-7819-41C5-A823-12D465CE6F79}"/>
            </a:ext>
            <a:ext uri="{147F2762-F138-4A5C-976F-8EAC2B608ADB}">
              <a16:predDERef xmlns:a16="http://schemas.microsoft.com/office/drawing/2014/main" pred="{D1B80DD3-CC91-350B-3F28-8DA90739BA58}"/>
            </a:ext>
          </a:extLst>
        </xdr:cNvPr>
        <xdr:cNvCxnSpPr>
          <a:cxnSpLocks/>
        </xdr:cNvCxnSpPr>
      </xdr:nvCxnSpPr>
      <xdr:spPr>
        <a:xfrm>
          <a:off x="14592300" y="190500"/>
          <a:ext cx="0" cy="6638925"/>
        </a:xfrm>
        <a:prstGeom prst="line">
          <a:avLst/>
        </a:prstGeom>
        <a:ln w="635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367D-EB8A-427F-9CEA-0F23115051FD}">
  <dimension ref="B1:L20"/>
  <sheetViews>
    <sheetView workbookViewId="0">
      <selection activeCell="M18" sqref="M18"/>
    </sheetView>
  </sheetViews>
  <sheetFormatPr defaultRowHeight="15"/>
  <cols>
    <col min="12" max="12" width="19.140625" customWidth="1"/>
  </cols>
  <sheetData>
    <row r="1" spans="2:12" ht="26.25" customHeight="1" thickBot="1">
      <c r="K1" s="13" t="s">
        <v>0</v>
      </c>
      <c r="L1" s="14"/>
    </row>
    <row r="2" spans="2:12" ht="21" customHeight="1">
      <c r="B2" s="12" t="s">
        <v>1</v>
      </c>
      <c r="K2" s="5" t="s">
        <v>2</v>
      </c>
      <c r="L2" s="6">
        <v>114.11</v>
      </c>
    </row>
    <row r="3" spans="2:12" ht="15.75">
      <c r="K3" s="7" t="s">
        <v>3</v>
      </c>
      <c r="L3" s="8">
        <v>117402.94899999999</v>
      </c>
    </row>
    <row r="4" spans="2:12" ht="15.75">
      <c r="B4" s="2" t="s">
        <v>4</v>
      </c>
      <c r="K4" s="7" t="s">
        <v>5</v>
      </c>
      <c r="L4" s="8">
        <f>L2*L3</f>
        <v>13396850.510389999</v>
      </c>
    </row>
    <row r="5" spans="2:12" ht="15.75">
      <c r="B5" s="3" t="s">
        <v>6</v>
      </c>
      <c r="C5" s="4"/>
      <c r="K5" s="7" t="s">
        <v>7</v>
      </c>
      <c r="L5" s="8">
        <v>889900</v>
      </c>
    </row>
    <row r="6" spans="2:12" ht="15.75">
      <c r="B6" s="3" t="s">
        <v>8</v>
      </c>
      <c r="C6" s="4"/>
      <c r="K6" s="7" t="s">
        <v>9</v>
      </c>
      <c r="L6" s="8">
        <f>3541002+625761+150312</f>
        <v>4317075</v>
      </c>
    </row>
    <row r="7" spans="2:12" ht="15.75">
      <c r="B7" s="3" t="s">
        <v>10</v>
      </c>
      <c r="C7" s="4"/>
      <c r="K7" s="7" t="s">
        <v>11</v>
      </c>
      <c r="L7" s="8">
        <f>L4-L5+L6</f>
        <v>16824025.510389999</v>
      </c>
    </row>
    <row r="8" spans="2:12" ht="15.75">
      <c r="K8" s="7" t="s">
        <v>12</v>
      </c>
      <c r="L8" s="8">
        <f>L5-L6</f>
        <v>-3427175</v>
      </c>
    </row>
    <row r="9" spans="2:12" ht="15.75">
      <c r="B9" s="3" t="s">
        <v>13</v>
      </c>
      <c r="K9" s="7"/>
      <c r="L9" s="9"/>
    </row>
    <row r="10" spans="2:12" ht="16.5" thickBot="1">
      <c r="B10" s="3" t="s">
        <v>14</v>
      </c>
      <c r="K10" s="10" t="s">
        <v>15</v>
      </c>
      <c r="L10" s="11" t="s">
        <v>16</v>
      </c>
    </row>
    <row r="11" spans="2:12" ht="15.75">
      <c r="B11" s="3" t="s">
        <v>17</v>
      </c>
    </row>
    <row r="12" spans="2:12" ht="15.75">
      <c r="B12" s="3" t="s">
        <v>18</v>
      </c>
    </row>
    <row r="13" spans="2:12" ht="15.75">
      <c r="B13" s="3" t="s">
        <v>19</v>
      </c>
    </row>
    <row r="14" spans="2:12" ht="15.75">
      <c r="B14" s="3" t="s">
        <v>20</v>
      </c>
    </row>
    <row r="15" spans="2:12" ht="15.75">
      <c r="B15" s="3" t="s">
        <v>21</v>
      </c>
    </row>
    <row r="16" spans="2:12" ht="15.75">
      <c r="B16" s="3" t="s">
        <v>22</v>
      </c>
    </row>
    <row r="18" spans="2:2" ht="15.75">
      <c r="B18" s="3" t="s">
        <v>23</v>
      </c>
    </row>
    <row r="19" spans="2:2" ht="15.75">
      <c r="B19" s="3" t="s">
        <v>24</v>
      </c>
    </row>
    <row r="20" spans="2:2" ht="15.75">
      <c r="B20" s="3" t="s">
        <v>25</v>
      </c>
    </row>
  </sheetData>
  <mergeCells count="1">
    <mergeCell ref="K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779F-BB20-4BD0-ADBB-DA6CCA94A49E}">
  <dimension ref="A1:AN81"/>
  <sheetViews>
    <sheetView tabSelected="1" workbookViewId="0">
      <pane xSplit="2" ySplit="2" topLeftCell="C50" activePane="bottomRight" state="frozen"/>
      <selection pane="bottomRight" activeCell="H71" sqref="H71"/>
      <selection pane="bottomLeft" activeCell="A3" sqref="A3"/>
      <selection pane="topRight" activeCell="C1" sqref="C1"/>
    </sheetView>
  </sheetViews>
  <sheetFormatPr defaultRowHeight="15"/>
  <cols>
    <col min="1" max="1" width="7.28515625" customWidth="1"/>
    <col min="2" max="2" width="19.5703125" customWidth="1"/>
    <col min="3" max="3" width="9.7109375" customWidth="1"/>
    <col min="4" max="10" width="11.7109375" customWidth="1"/>
    <col min="11" max="11" width="11" customWidth="1"/>
    <col min="19" max="23" width="12.5703125" customWidth="1"/>
  </cols>
  <sheetData>
    <row r="1" spans="1:40">
      <c r="A1" s="1" t="s">
        <v>26</v>
      </c>
    </row>
    <row r="2" spans="1:40" s="20" customFormat="1"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  <c r="I2" s="20" t="s">
        <v>32</v>
      </c>
      <c r="J2" s="20" t="s">
        <v>33</v>
      </c>
      <c r="K2" s="20" t="s">
        <v>34</v>
      </c>
      <c r="L2" s="20" t="s">
        <v>35</v>
      </c>
      <c r="M2" s="20" t="s">
        <v>36</v>
      </c>
      <c r="N2" s="20" t="s">
        <v>37</v>
      </c>
      <c r="O2" s="20" t="s">
        <v>38</v>
      </c>
      <c r="S2" s="20">
        <v>2019</v>
      </c>
      <c r="T2" s="20">
        <v>2020</v>
      </c>
      <c r="U2" s="20">
        <v>2021</v>
      </c>
      <c r="V2" s="20">
        <v>2022</v>
      </c>
      <c r="W2" s="20">
        <v>2023</v>
      </c>
      <c r="X2" s="20">
        <v>2024</v>
      </c>
      <c r="Y2" s="20">
        <v>2025</v>
      </c>
      <c r="Z2" s="20">
        <v>2026</v>
      </c>
      <c r="AA2" s="20">
        <v>2027</v>
      </c>
      <c r="AB2" s="20">
        <v>2028</v>
      </c>
      <c r="AC2" s="20">
        <v>2029</v>
      </c>
      <c r="AD2" s="20">
        <v>2030</v>
      </c>
      <c r="AE2" s="20">
        <v>2031</v>
      </c>
      <c r="AF2" s="20">
        <v>2032</v>
      </c>
      <c r="AG2" s="20">
        <v>2033</v>
      </c>
      <c r="AH2" s="20">
        <v>2034</v>
      </c>
      <c r="AI2" s="20">
        <v>2035</v>
      </c>
      <c r="AJ2" s="20">
        <v>2036</v>
      </c>
      <c r="AK2" s="20">
        <v>2037</v>
      </c>
      <c r="AL2" s="20">
        <v>2038</v>
      </c>
      <c r="AM2" s="20">
        <v>2039</v>
      </c>
      <c r="AN2" s="20">
        <v>2040</v>
      </c>
    </row>
    <row r="3" spans="1:40" s="16" customFormat="1">
      <c r="B3" s="16" t="s">
        <v>39</v>
      </c>
      <c r="D3" s="17">
        <v>1127728</v>
      </c>
      <c r="E3" s="17">
        <v>1479593</v>
      </c>
      <c r="F3" s="17">
        <v>2091805</v>
      </c>
      <c r="G3" s="17">
        <v>2620978</v>
      </c>
      <c r="H3" s="17">
        <v>2580252</v>
      </c>
      <c r="I3" s="17">
        <v>2370190</v>
      </c>
      <c r="J3" s="17">
        <v>2310596</v>
      </c>
      <c r="K3" s="17">
        <v>2356165</v>
      </c>
      <c r="V3" s="16">
        <f>SUM(D3:G3)</f>
        <v>7320104</v>
      </c>
      <c r="W3" s="16">
        <f>SUM(H3:K3)</f>
        <v>9617203</v>
      </c>
    </row>
    <row r="4" spans="1:40" s="16" customFormat="1">
      <c r="B4" s="16" t="s">
        <v>40</v>
      </c>
      <c r="D4" s="17">
        <v>678698</v>
      </c>
      <c r="E4" s="17">
        <v>899169</v>
      </c>
      <c r="F4" s="17">
        <v>1047991</v>
      </c>
      <c r="G4" s="17">
        <v>1619659</v>
      </c>
      <c r="H4" s="17">
        <v>1303712</v>
      </c>
      <c r="I4" s="17">
        <v>1811703</v>
      </c>
      <c r="J4" s="17">
        <v>2255662</v>
      </c>
      <c r="K4" s="17">
        <v>3060217</v>
      </c>
      <c r="V4" s="16">
        <f>SUM(D4:G4)</f>
        <v>4245517</v>
      </c>
      <c r="W4" s="16">
        <f>SUM(H4:K4)</f>
        <v>8431294</v>
      </c>
    </row>
    <row r="5" spans="1:40" s="18" customFormat="1">
      <c r="B5" s="18" t="s">
        <v>41</v>
      </c>
      <c r="D5" s="19">
        <f>D3-D4</f>
        <v>449030</v>
      </c>
      <c r="E5" s="19">
        <f>E3-E4</f>
        <v>580424</v>
      </c>
      <c r="F5" s="19">
        <f>F3-F4</f>
        <v>1043814</v>
      </c>
      <c r="G5" s="19">
        <f>G3-G4</f>
        <v>1001319</v>
      </c>
      <c r="H5" s="19">
        <f>H3-H4</f>
        <v>1276540</v>
      </c>
      <c r="I5" s="19">
        <f>I3-I4</f>
        <v>558487</v>
      </c>
      <c r="J5" s="19">
        <f>J3-J4</f>
        <v>54934</v>
      </c>
      <c r="K5" s="19">
        <f>K3-K4</f>
        <v>-704052</v>
      </c>
      <c r="V5" s="18">
        <f>SUM(D5:G5)</f>
        <v>3074587</v>
      </c>
      <c r="W5" s="18">
        <f>SUM(H5:K5)</f>
        <v>1185909</v>
      </c>
    </row>
    <row r="6" spans="1:40" s="16" customFormat="1">
      <c r="B6" s="16" t="s">
        <v>42</v>
      </c>
      <c r="D6" s="17">
        <v>112568</v>
      </c>
      <c r="E6" s="17">
        <v>128942</v>
      </c>
      <c r="F6" s="17">
        <v>134479</v>
      </c>
      <c r="G6" s="17">
        <v>148156</v>
      </c>
      <c r="H6" s="17">
        <v>154306</v>
      </c>
      <c r="I6" s="17">
        <v>397070</v>
      </c>
      <c r="J6" s="17">
        <v>173866</v>
      </c>
      <c r="K6" s="17">
        <v>194251</v>
      </c>
      <c r="V6" s="16">
        <f t="shared" ref="V6:V17" si="0">SUM(D6:G6)</f>
        <v>524145</v>
      </c>
      <c r="W6" s="16">
        <f t="shared" ref="W6:W16" si="1">SUM(H6:K6)</f>
        <v>919493</v>
      </c>
    </row>
    <row r="7" spans="1:40" s="16" customFormat="1">
      <c r="B7" s="16" t="s">
        <v>43</v>
      </c>
      <c r="D7" s="17">
        <v>16083</v>
      </c>
      <c r="E7" s="17">
        <v>17386</v>
      </c>
      <c r="F7" s="17">
        <v>18358</v>
      </c>
      <c r="G7" s="17">
        <v>20154</v>
      </c>
      <c r="H7" s="17">
        <v>20471</v>
      </c>
      <c r="I7" s="17">
        <v>21419</v>
      </c>
      <c r="J7" s="17">
        <v>21082</v>
      </c>
      <c r="K7" s="17">
        <v>22753</v>
      </c>
      <c r="V7" s="16">
        <f t="shared" si="0"/>
        <v>71981</v>
      </c>
      <c r="W7" s="16">
        <f t="shared" si="1"/>
        <v>85725</v>
      </c>
    </row>
    <row r="8" spans="1:40" s="16" customFormat="1">
      <c r="B8" s="16" t="s">
        <v>44</v>
      </c>
      <c r="D8" s="17">
        <v>8400</v>
      </c>
      <c r="E8" s="17"/>
      <c r="F8" s="17"/>
      <c r="G8" s="17"/>
      <c r="H8" s="17"/>
      <c r="I8" s="17"/>
      <c r="J8" s="17"/>
      <c r="K8" s="17">
        <v>-71190</v>
      </c>
      <c r="V8" s="16">
        <f t="shared" si="0"/>
        <v>8400</v>
      </c>
      <c r="W8" s="16">
        <f t="shared" si="1"/>
        <v>-71190</v>
      </c>
    </row>
    <row r="9" spans="1:40" s="18" customFormat="1">
      <c r="B9" s="18" t="s">
        <v>45</v>
      </c>
      <c r="D9" s="19">
        <f>D5-D6-D7-D8</f>
        <v>311979</v>
      </c>
      <c r="E9" s="19">
        <f>E5-E6-E7-E8</f>
        <v>434096</v>
      </c>
      <c r="F9" s="19">
        <f>F5-F6-F7-F8</f>
        <v>890977</v>
      </c>
      <c r="G9" s="19">
        <f>G5-G6-G7-G8</f>
        <v>833009</v>
      </c>
      <c r="H9" s="19">
        <f>H5-H6-H7-H8</f>
        <v>1101763</v>
      </c>
      <c r="I9" s="19">
        <f>I5-I6-I7-I8</f>
        <v>139998</v>
      </c>
      <c r="J9" s="19">
        <f>J5-J6-J7-J8</f>
        <v>-140014</v>
      </c>
      <c r="K9" s="19">
        <f>K5-K6-K7-K8</f>
        <v>-849866</v>
      </c>
      <c r="V9" s="18">
        <f t="shared" si="0"/>
        <v>2470061</v>
      </c>
      <c r="W9" s="18">
        <f t="shared" si="1"/>
        <v>251881</v>
      </c>
    </row>
    <row r="10" spans="1:40" s="16" customFormat="1">
      <c r="B10" s="16" t="s">
        <v>46</v>
      </c>
      <c r="D10" s="17">
        <v>27834</v>
      </c>
      <c r="E10" s="17">
        <v>41409</v>
      </c>
      <c r="F10" s="17">
        <v>29691</v>
      </c>
      <c r="G10" s="17">
        <v>24039</v>
      </c>
      <c r="H10" s="17">
        <v>26777</v>
      </c>
      <c r="I10" s="17">
        <v>25577</v>
      </c>
      <c r="J10" s="17">
        <v>29332</v>
      </c>
      <c r="K10" s="17">
        <v>34386</v>
      </c>
      <c r="V10" s="16">
        <f t="shared" si="0"/>
        <v>122973</v>
      </c>
      <c r="W10" s="16">
        <f t="shared" si="1"/>
        <v>116072</v>
      </c>
    </row>
    <row r="11" spans="1:40" s="16" customFormat="1">
      <c r="B11" s="16" t="s">
        <v>47</v>
      </c>
      <c r="D11" s="17">
        <v>15496</v>
      </c>
      <c r="E11" s="17">
        <v>8767</v>
      </c>
      <c r="F11" s="17">
        <v>7974</v>
      </c>
      <c r="G11" s="17">
        <v>54119</v>
      </c>
      <c r="H11" s="17">
        <v>82492</v>
      </c>
      <c r="I11" s="17">
        <v>53954</v>
      </c>
      <c r="J11" s="17">
        <v>11182</v>
      </c>
      <c r="K11" s="17">
        <v>36699</v>
      </c>
      <c r="V11" s="16">
        <f t="shared" si="0"/>
        <v>86356</v>
      </c>
      <c r="W11" s="16">
        <f t="shared" si="1"/>
        <v>184327</v>
      </c>
    </row>
    <row r="12" spans="1:40" s="16" customFormat="1">
      <c r="B12" s="16" t="s">
        <v>48</v>
      </c>
      <c r="D12" s="17">
        <f>D9-D10+D11</f>
        <v>299641</v>
      </c>
      <c r="E12" s="17">
        <f>E9-E10+E11</f>
        <v>401454</v>
      </c>
      <c r="F12" s="17">
        <f>F9-F10+F11</f>
        <v>869260</v>
      </c>
      <c r="G12" s="17">
        <f>G9-G10+G11</f>
        <v>863089</v>
      </c>
      <c r="H12" s="17">
        <f>H9-H10+H11</f>
        <v>1157478</v>
      </c>
      <c r="I12" s="17">
        <f>I9-I10+I11</f>
        <v>168375</v>
      </c>
      <c r="J12" s="17">
        <f>J9-J10+J11</f>
        <v>-158164</v>
      </c>
      <c r="K12" s="17">
        <f>K9-K10-K11</f>
        <v>-920951</v>
      </c>
      <c r="V12" s="16">
        <f t="shared" si="0"/>
        <v>2433444</v>
      </c>
      <c r="W12" s="16">
        <f t="shared" si="1"/>
        <v>246738</v>
      </c>
    </row>
    <row r="13" spans="1:40" s="16" customFormat="1">
      <c r="B13" s="16" t="s">
        <v>49</v>
      </c>
      <c r="D13" s="17">
        <f>80530+28164</f>
        <v>108694</v>
      </c>
      <c r="E13" s="17">
        <f>89018+33819</f>
        <v>122837</v>
      </c>
      <c r="F13" s="17">
        <f>196938+33991</f>
        <v>230929</v>
      </c>
      <c r="G13" s="17">
        <f>24102+29341</f>
        <v>53443</v>
      </c>
      <c r="H13" s="17">
        <f>276963+38123</f>
        <v>315086</v>
      </c>
      <c r="I13" s="17">
        <f>42987+26396</f>
        <v>69383</v>
      </c>
      <c r="J13" s="17">
        <f>8551-18160</f>
        <v>-9609</v>
      </c>
      <c r="K13" s="17">
        <f>118878+14388</f>
        <v>133266</v>
      </c>
      <c r="V13" s="16">
        <f t="shared" si="0"/>
        <v>515903</v>
      </c>
      <c r="W13" s="16">
        <f t="shared" si="1"/>
        <v>508126</v>
      </c>
    </row>
    <row r="14" spans="1:40" s="16" customFormat="1">
      <c r="B14" s="16" t="s">
        <v>50</v>
      </c>
      <c r="D14" s="17">
        <f>D12-D13</f>
        <v>190947</v>
      </c>
      <c r="E14" s="17">
        <f>E12-E13</f>
        <v>278617</v>
      </c>
      <c r="F14" s="17">
        <f>F12-F13</f>
        <v>638331</v>
      </c>
      <c r="G14" s="17">
        <f>G12-G13</f>
        <v>809646</v>
      </c>
      <c r="H14" s="17">
        <f>H12-H13</f>
        <v>842392</v>
      </c>
      <c r="I14" s="17">
        <f>I12-I13</f>
        <v>98992</v>
      </c>
      <c r="J14" s="17">
        <f>J12+J13</f>
        <v>-167773</v>
      </c>
      <c r="K14" s="17">
        <f>K12-K13</f>
        <v>-1054217</v>
      </c>
      <c r="V14" s="16">
        <f t="shared" si="0"/>
        <v>1917541</v>
      </c>
      <c r="W14" s="16">
        <f t="shared" si="1"/>
        <v>-280606</v>
      </c>
    </row>
    <row r="15" spans="1:40" s="16" customFormat="1">
      <c r="B15" s="16" t="s">
        <v>51</v>
      </c>
      <c r="D15" s="17">
        <v>62436</v>
      </c>
      <c r="E15" s="17">
        <v>128156</v>
      </c>
      <c r="F15" s="17">
        <v>258884</v>
      </c>
      <c r="G15" s="17">
        <v>322799</v>
      </c>
      <c r="H15" s="17">
        <v>396188</v>
      </c>
      <c r="I15" s="17">
        <v>551051</v>
      </c>
      <c r="J15" s="17">
        <v>470306</v>
      </c>
      <c r="K15" s="17">
        <v>436537</v>
      </c>
      <c r="V15" s="16">
        <f t="shared" si="0"/>
        <v>772275</v>
      </c>
      <c r="W15" s="16">
        <f t="shared" si="1"/>
        <v>1854082</v>
      </c>
    </row>
    <row r="16" spans="1:40" s="25" customFormat="1">
      <c r="B16" s="25" t="s">
        <v>52</v>
      </c>
      <c r="D16" s="26">
        <f>D14+D15</f>
        <v>253383</v>
      </c>
      <c r="E16" s="26">
        <f>E14+E15</f>
        <v>406773</v>
      </c>
      <c r="F16" s="26">
        <f>F14+F15</f>
        <v>897215</v>
      </c>
      <c r="G16" s="26">
        <f>G14+G15</f>
        <v>1132445</v>
      </c>
      <c r="H16" s="26">
        <f>H14+H15</f>
        <v>1238580</v>
      </c>
      <c r="I16" s="26">
        <f>I14+I15</f>
        <v>650043</v>
      </c>
      <c r="J16" s="26">
        <f>J14+J15</f>
        <v>302533</v>
      </c>
      <c r="K16" s="26">
        <f>K14+K15</f>
        <v>-617680</v>
      </c>
      <c r="V16" s="25">
        <f t="shared" si="0"/>
        <v>2689816</v>
      </c>
      <c r="W16" s="25">
        <f t="shared" si="1"/>
        <v>1573476</v>
      </c>
    </row>
    <row r="17" spans="2:23">
      <c r="B17" t="s">
        <v>53</v>
      </c>
      <c r="D17" s="15">
        <f>D16/D18</f>
        <v>2.1536467408395876</v>
      </c>
      <c r="E17" s="15">
        <f>E16/E18</f>
        <v>3.455310726784683</v>
      </c>
      <c r="F17" s="15">
        <f>F16/F18</f>
        <v>7.6119675232673565</v>
      </c>
      <c r="G17" s="15">
        <f>G16/G18</f>
        <v>9.6030951876192496</v>
      </c>
      <c r="H17" s="15">
        <f>H16/H18</f>
        <v>10.510603270508566</v>
      </c>
      <c r="I17" s="15">
        <f>I16/I18</f>
        <v>5.5196443885912254</v>
      </c>
      <c r="J17" s="15">
        <f>J16/J18</f>
        <v>2.5685625260012057</v>
      </c>
      <c r="K17" s="15">
        <f>K16/K18</f>
        <v>-5.2633911072481547</v>
      </c>
      <c r="V17" s="16">
        <f t="shared" si="0"/>
        <v>22.824020178510878</v>
      </c>
      <c r="W17" s="16">
        <f>SUM(H17:K17)</f>
        <v>13.335419077852844</v>
      </c>
    </row>
    <row r="18" spans="2:23" s="17" customFormat="1">
      <c r="B18" s="17" t="s">
        <v>3</v>
      </c>
      <c r="D18" s="17">
        <v>117653</v>
      </c>
      <c r="E18" s="17">
        <v>117724</v>
      </c>
      <c r="F18" s="17">
        <v>117869</v>
      </c>
      <c r="G18" s="17">
        <v>117925</v>
      </c>
      <c r="H18" s="17">
        <v>117841</v>
      </c>
      <c r="I18" s="17">
        <v>117769</v>
      </c>
      <c r="J18" s="17">
        <v>117783</v>
      </c>
      <c r="K18" s="17">
        <v>117354</v>
      </c>
      <c r="V18" s="17">
        <f>AVERAGE(D18:G18)</f>
        <v>117792.75</v>
      </c>
      <c r="W18" s="17">
        <f>AVERAGE(H18:K18)</f>
        <v>117686.75</v>
      </c>
    </row>
    <row r="20" spans="2:23" s="21" customFormat="1">
      <c r="B20" s="21" t="s">
        <v>54</v>
      </c>
      <c r="F20" s="22"/>
      <c r="G20" s="22"/>
      <c r="H20" s="22">
        <f t="shared" ref="G20:J20" si="2">H3/D3-1</f>
        <v>1.2880091653306471</v>
      </c>
      <c r="I20" s="22">
        <f t="shared" si="2"/>
        <v>0.60192025780062486</v>
      </c>
      <c r="J20" s="22">
        <f t="shared" si="2"/>
        <v>0.10459435750464308</v>
      </c>
      <c r="K20" s="22">
        <f>K3/G3-1</f>
        <v>-0.10103594917622349</v>
      </c>
      <c r="W20" s="22">
        <f>W3/V3-1</f>
        <v>0.31380688033940496</v>
      </c>
    </row>
    <row r="21" spans="2:23" s="23" customFormat="1">
      <c r="B21" s="23" t="s">
        <v>55</v>
      </c>
      <c r="E21" s="24">
        <f>E3/D3-1</f>
        <v>0.31201229374459083</v>
      </c>
      <c r="F21" s="24">
        <f>F3/E3-1</f>
        <v>0.4137705436562622</v>
      </c>
      <c r="G21" s="24">
        <f t="shared" ref="G21:J21" si="3">G3/F3-1</f>
        <v>0.25297434512299177</v>
      </c>
      <c r="H21" s="24">
        <f t="shared" si="3"/>
        <v>-1.5538474569416483E-2</v>
      </c>
      <c r="I21" s="24">
        <f t="shared" si="3"/>
        <v>-8.1411428031060495E-2</v>
      </c>
      <c r="J21" s="24">
        <f t="shared" si="3"/>
        <v>-2.5143131985199463E-2</v>
      </c>
      <c r="K21" s="24">
        <f>K3/J3-1</f>
        <v>1.9721751444216062E-2</v>
      </c>
    </row>
    <row r="23" spans="2:23" s="21" customFormat="1">
      <c r="B23" s="21" t="s">
        <v>56</v>
      </c>
      <c r="D23" s="22">
        <f t="shared" ref="D23:K23" si="4">D5/D3</f>
        <v>0.3981722543024559</v>
      </c>
      <c r="E23" s="22">
        <f t="shared" si="4"/>
        <v>0.3922862570990806</v>
      </c>
      <c r="F23" s="22">
        <f t="shared" si="4"/>
        <v>0.4990015799751889</v>
      </c>
      <c r="G23" s="22">
        <f t="shared" si="4"/>
        <v>0.38204021552260264</v>
      </c>
      <c r="H23" s="22">
        <f t="shared" si="4"/>
        <v>0.49473462281978658</v>
      </c>
      <c r="I23" s="22">
        <f t="shared" si="4"/>
        <v>0.23562963306739121</v>
      </c>
      <c r="J23" s="22">
        <f t="shared" si="4"/>
        <v>2.3774818271995624E-2</v>
      </c>
      <c r="K23" s="22">
        <f t="shared" si="4"/>
        <v>-0.29881268926412202</v>
      </c>
      <c r="V23" s="22">
        <f>V5/V3</f>
        <v>0.4200195789568017</v>
      </c>
      <c r="W23" s="22">
        <f>W5/W3</f>
        <v>0.12331121636924998</v>
      </c>
    </row>
    <row r="24" spans="2:23" s="27" customFormat="1">
      <c r="B24" s="27" t="s">
        <v>57</v>
      </c>
      <c r="D24" s="28">
        <f t="shared" ref="D24:K24" si="5">D9/D3</f>
        <v>0.27664383610232257</v>
      </c>
      <c r="E24" s="28">
        <f t="shared" si="5"/>
        <v>0.29338879002536511</v>
      </c>
      <c r="F24" s="28">
        <f t="shared" si="5"/>
        <v>0.42593693006757322</v>
      </c>
      <c r="G24" s="28">
        <f t="shared" si="5"/>
        <v>0.31782372839451534</v>
      </c>
      <c r="H24" s="28">
        <f t="shared" si="5"/>
        <v>0.42699821567815854</v>
      </c>
      <c r="I24" s="28">
        <f t="shared" si="5"/>
        <v>5.9066150814913572E-2</v>
      </c>
      <c r="J24" s="28">
        <f t="shared" si="5"/>
        <v>-6.0596486793883485E-2</v>
      </c>
      <c r="K24" s="28">
        <f t="shared" si="5"/>
        <v>-0.3606988474915806</v>
      </c>
      <c r="V24" s="28">
        <f>V9/V3</f>
        <v>0.33743523316062174</v>
      </c>
      <c r="W24" s="28">
        <f>W9/W3</f>
        <v>2.6190671029820208E-2</v>
      </c>
    </row>
    <row r="25" spans="2:23" s="27" customFormat="1">
      <c r="B25" s="27" t="s">
        <v>58</v>
      </c>
      <c r="D25" s="28">
        <f t="shared" ref="D25:K25" si="6">D16/D3</f>
        <v>0.22468449838968263</v>
      </c>
      <c r="E25" s="28">
        <f t="shared" si="6"/>
        <v>0.27492222523356086</v>
      </c>
      <c r="F25" s="28">
        <f t="shared" si="6"/>
        <v>0.4289190436011005</v>
      </c>
      <c r="G25" s="28">
        <f t="shared" si="6"/>
        <v>0.43206963202285559</v>
      </c>
      <c r="H25" s="28">
        <f t="shared" si="6"/>
        <v>0.48002288148599437</v>
      </c>
      <c r="I25" s="28">
        <f t="shared" si="6"/>
        <v>0.27425775992641938</v>
      </c>
      <c r="J25" s="28">
        <f t="shared" si="6"/>
        <v>0.13093288484875765</v>
      </c>
      <c r="K25" s="28">
        <f t="shared" si="6"/>
        <v>-0.26215481513391464</v>
      </c>
      <c r="V25" s="28">
        <f>V16/V3</f>
        <v>0.36745598149971642</v>
      </c>
      <c r="W25" s="28">
        <f>W16/W3</f>
        <v>0.16361056327915716</v>
      </c>
    </row>
    <row r="26" spans="2:23" s="23" customFormat="1">
      <c r="B26" s="23" t="s">
        <v>59</v>
      </c>
      <c r="D26" s="24">
        <f t="shared" ref="D26:K26" si="7">D13/D12</f>
        <v>0.36274742108055974</v>
      </c>
      <c r="E26" s="24">
        <f t="shared" si="7"/>
        <v>0.30598026174854404</v>
      </c>
      <c r="F26" s="24">
        <f t="shared" si="7"/>
        <v>0.26566159722062443</v>
      </c>
      <c r="G26" s="24">
        <f t="shared" si="7"/>
        <v>6.1920613053810213E-2</v>
      </c>
      <c r="H26" s="24">
        <f t="shared" si="7"/>
        <v>0.2722177008979868</v>
      </c>
      <c r="I26" s="24">
        <f t="shared" si="7"/>
        <v>0.41207423904974017</v>
      </c>
      <c r="J26" s="24">
        <f t="shared" si="7"/>
        <v>6.0753395210035151E-2</v>
      </c>
      <c r="K26" s="24">
        <f t="shared" si="7"/>
        <v>-0.14470476713744815</v>
      </c>
      <c r="V26" s="24">
        <f>V13/V12</f>
        <v>0.21200528962244458</v>
      </c>
      <c r="W26" s="24">
        <f>W13/W12</f>
        <v>2.0593747213643621</v>
      </c>
    </row>
    <row r="28" spans="2:23" s="19" customFormat="1">
      <c r="B28" s="19" t="s">
        <v>7</v>
      </c>
      <c r="K28" s="19">
        <v>889900</v>
      </c>
    </row>
    <row r="29" spans="2:23" s="17" customFormat="1">
      <c r="B29" s="17" t="s">
        <v>60</v>
      </c>
      <c r="K29" s="17">
        <v>1213160</v>
      </c>
    </row>
    <row r="30" spans="2:23" s="17" customFormat="1">
      <c r="B30" s="17" t="s">
        <v>61</v>
      </c>
      <c r="K30" s="17">
        <v>509097</v>
      </c>
    </row>
    <row r="31" spans="2:23" s="17" customFormat="1">
      <c r="B31" s="17" t="s">
        <v>62</v>
      </c>
      <c r="K31" s="17">
        <v>2161287</v>
      </c>
    </row>
    <row r="32" spans="2:23" s="17" customFormat="1">
      <c r="B32" s="17" t="s">
        <v>63</v>
      </c>
      <c r="K32" s="17">
        <v>443475</v>
      </c>
    </row>
    <row r="33" spans="2:11" s="17" customFormat="1">
      <c r="B33" s="17" t="s">
        <v>64</v>
      </c>
      <c r="K33" s="17">
        <v>12233757</v>
      </c>
    </row>
    <row r="34" spans="2:11" s="17" customFormat="1">
      <c r="B34" s="17" t="s">
        <v>65</v>
      </c>
      <c r="K34" s="17">
        <v>2738553</v>
      </c>
    </row>
    <row r="35" spans="2:11" s="17" customFormat="1">
      <c r="B35" s="17" t="s">
        <v>66</v>
      </c>
      <c r="K35" s="17">
        <v>1369855</v>
      </c>
    </row>
    <row r="36" spans="2:11" s="17" customFormat="1">
      <c r="B36" s="17" t="s">
        <v>67</v>
      </c>
      <c r="K36" s="17">
        <v>297087</v>
      </c>
    </row>
    <row r="37" spans="2:11" s="17" customFormat="1">
      <c r="B37" s="17" t="s">
        <v>68</v>
      </c>
      <c r="K37" s="17">
        <f>1629729+261858</f>
        <v>1891587</v>
      </c>
    </row>
    <row r="38" spans="2:11" s="19" customFormat="1">
      <c r="B38" s="19" t="s">
        <v>69</v>
      </c>
      <c r="K38" s="19">
        <f>SUM(K28:K37)</f>
        <v>23747758</v>
      </c>
    </row>
    <row r="39" spans="2:11" s="17" customFormat="1"/>
    <row r="40" spans="2:11" s="17" customFormat="1">
      <c r="B40" s="17" t="s">
        <v>70</v>
      </c>
      <c r="K40" s="17">
        <f>1537859+550186</f>
        <v>2088045</v>
      </c>
    </row>
    <row r="41" spans="2:11" s="17" customFormat="1">
      <c r="B41" s="17" t="s">
        <v>71</v>
      </c>
      <c r="K41" s="17">
        <v>544835</v>
      </c>
    </row>
    <row r="42" spans="2:11" s="17" customFormat="1">
      <c r="B42" s="17" t="s">
        <v>9</v>
      </c>
      <c r="K42" s="17">
        <f>625761+3541002</f>
        <v>4166763</v>
      </c>
    </row>
    <row r="43" spans="2:11" s="17" customFormat="1">
      <c r="B43" s="17" t="s">
        <v>72</v>
      </c>
      <c r="K43" s="17">
        <v>46666</v>
      </c>
    </row>
    <row r="44" spans="2:11" s="17" customFormat="1">
      <c r="B44" s="17" t="s">
        <v>73</v>
      </c>
      <c r="K44" s="17">
        <v>255155</v>
      </c>
    </row>
    <row r="45" spans="2:11" s="17" customFormat="1">
      <c r="B45" s="17" t="s">
        <v>74</v>
      </c>
      <c r="K45" s="17">
        <v>26247</v>
      </c>
    </row>
    <row r="46" spans="2:11" s="17" customFormat="1">
      <c r="B46" s="17" t="s">
        <v>75</v>
      </c>
      <c r="K46" s="17">
        <v>150312</v>
      </c>
    </row>
    <row r="47" spans="2:11" s="17" customFormat="1">
      <c r="B47" s="17" t="s">
        <v>76</v>
      </c>
      <c r="K47" s="17">
        <v>769100</v>
      </c>
    </row>
    <row r="48" spans="2:11" s="17" customFormat="1">
      <c r="B48" s="17" t="s">
        <v>77</v>
      </c>
      <c r="K48" s="17">
        <v>558430</v>
      </c>
    </row>
    <row r="49" spans="2:11" s="19" customFormat="1">
      <c r="B49" s="19" t="s">
        <v>78</v>
      </c>
      <c r="K49" s="19">
        <f>SUM(K40:K48)</f>
        <v>8605553</v>
      </c>
    </row>
    <row r="50" spans="2:11" s="19" customFormat="1">
      <c r="B50" s="19" t="s">
        <v>79</v>
      </c>
      <c r="K50" s="19">
        <v>9665099</v>
      </c>
    </row>
    <row r="51" spans="2:11" s="19" customFormat="1">
      <c r="B51" s="19" t="s">
        <v>80</v>
      </c>
      <c r="K51" s="19">
        <f>K50+K49</f>
        <v>18270652</v>
      </c>
    </row>
    <row r="53" spans="2:11" s="29" customFormat="1">
      <c r="B53" s="29" t="s">
        <v>81</v>
      </c>
      <c r="H53" s="19">
        <f>H16</f>
        <v>1238580</v>
      </c>
    </row>
    <row r="54" spans="2:11" s="18" customFormat="1">
      <c r="B54" s="18" t="s">
        <v>82</v>
      </c>
      <c r="H54" s="19">
        <v>1276703</v>
      </c>
    </row>
    <row r="55" spans="2:11" s="16" customFormat="1">
      <c r="B55" s="16" t="s">
        <v>65</v>
      </c>
      <c r="H55" s="17">
        <v>87271</v>
      </c>
    </row>
    <row r="56" spans="2:11" s="16" customFormat="1">
      <c r="B56" s="16" t="s">
        <v>83</v>
      </c>
      <c r="H56" s="17"/>
    </row>
    <row r="57" spans="2:11" s="16" customFormat="1">
      <c r="B57" s="16" t="s">
        <v>84</v>
      </c>
      <c r="H57" s="17">
        <v>10540</v>
      </c>
    </row>
    <row r="58" spans="2:11" s="16" customFormat="1">
      <c r="B58" s="16" t="s">
        <v>51</v>
      </c>
      <c r="H58" s="17">
        <v>-396188</v>
      </c>
    </row>
    <row r="59" spans="2:11" s="16" customFormat="1">
      <c r="B59" s="16" t="s">
        <v>85</v>
      </c>
      <c r="H59" s="17">
        <v>547552</v>
      </c>
    </row>
    <row r="60" spans="2:11" s="16" customFormat="1">
      <c r="B60" s="16" t="s">
        <v>86</v>
      </c>
      <c r="H60" s="17">
        <v>1954</v>
      </c>
    </row>
    <row r="61" spans="2:11" s="16" customFormat="1">
      <c r="B61" s="16" t="s">
        <v>87</v>
      </c>
      <c r="H61" s="17">
        <v>-2825</v>
      </c>
    </row>
    <row r="62" spans="2:11" s="16" customFormat="1">
      <c r="B62" s="16" t="s">
        <v>88</v>
      </c>
      <c r="H62" s="17">
        <v>-45732</v>
      </c>
    </row>
    <row r="63" spans="2:11" s="16" customFormat="1">
      <c r="B63" s="16" t="s">
        <v>77</v>
      </c>
      <c r="H63" s="17">
        <v>14098</v>
      </c>
    </row>
    <row r="64" spans="2:11" s="16" customFormat="1">
      <c r="B64" s="16" t="s">
        <v>89</v>
      </c>
      <c r="H64" s="17">
        <v>-764071</v>
      </c>
    </row>
    <row r="65" spans="2:8" s="16" customFormat="1">
      <c r="B65" s="16" t="s">
        <v>90</v>
      </c>
      <c r="H65" s="17">
        <v>7665</v>
      </c>
    </row>
    <row r="66" spans="2:8" s="16" customFormat="1">
      <c r="B66" s="16" t="s">
        <v>47</v>
      </c>
      <c r="H66" s="17">
        <v>-15987</v>
      </c>
    </row>
    <row r="67" spans="2:8" s="18" customFormat="1">
      <c r="B67" s="18" t="s">
        <v>91</v>
      </c>
      <c r="H67" s="19">
        <f>SUM(H54:H66)</f>
        <v>720980</v>
      </c>
    </row>
    <row r="68" spans="2:8">
      <c r="B68" t="s">
        <v>92</v>
      </c>
      <c r="H68">
        <v>-415608</v>
      </c>
    </row>
    <row r="69" spans="2:8">
      <c r="B69" t="s">
        <v>93</v>
      </c>
      <c r="H69">
        <v>-122267</v>
      </c>
    </row>
    <row r="70" spans="2:8">
      <c r="B70" t="s">
        <v>94</v>
      </c>
      <c r="H70">
        <v>-1133</v>
      </c>
    </row>
    <row r="71" spans="2:8" s="29" customFormat="1">
      <c r="B71" s="29" t="s">
        <v>95</v>
      </c>
      <c r="H71" s="19">
        <f>SUM(H68:H70)</f>
        <v>-539008</v>
      </c>
    </row>
    <row r="72" spans="2:8">
      <c r="B72" t="s">
        <v>96</v>
      </c>
      <c r="H72" s="17"/>
    </row>
    <row r="73" spans="2:8">
      <c r="B73" t="s">
        <v>97</v>
      </c>
      <c r="H73" s="17">
        <v>-713</v>
      </c>
    </row>
    <row r="74" spans="2:8">
      <c r="B74" t="s">
        <v>98</v>
      </c>
      <c r="H74" s="17">
        <v>-46282</v>
      </c>
    </row>
    <row r="75" spans="2:8">
      <c r="B75" t="s">
        <v>99</v>
      </c>
      <c r="H75" s="17">
        <v>-53145</v>
      </c>
    </row>
    <row r="76" spans="2:8">
      <c r="B76" t="s">
        <v>100</v>
      </c>
      <c r="H76" s="17">
        <v>81</v>
      </c>
    </row>
    <row r="77" spans="2:8">
      <c r="B77" t="s">
        <v>101</v>
      </c>
      <c r="H77" s="17"/>
    </row>
    <row r="78" spans="2:8">
      <c r="B78" t="s">
        <v>102</v>
      </c>
      <c r="H78" s="17">
        <v>-18617</v>
      </c>
    </row>
    <row r="79" spans="2:8" s="29" customFormat="1">
      <c r="B79" s="29" t="s">
        <v>103</v>
      </c>
      <c r="H79" s="19">
        <f>SUM(H72:H78)</f>
        <v>-118676</v>
      </c>
    </row>
    <row r="80" spans="2:8">
      <c r="B80" t="s">
        <v>104</v>
      </c>
      <c r="H80" s="17">
        <f>H79+H71+H67</f>
        <v>63296</v>
      </c>
    </row>
    <row r="81" spans="2:8" s="30" customFormat="1">
      <c r="B81" s="30" t="s">
        <v>105</v>
      </c>
      <c r="H81" s="31">
        <f>H67+H68</f>
        <v>305372</v>
      </c>
    </row>
  </sheetData>
  <hyperlinks>
    <hyperlink ref="A1" location="ALB!A1" display="Main" xr:uid="{5790F15B-AE06-43BE-B323-5DE31E2DE2B8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Herbert Guðmundsson</dc:creator>
  <cp:keywords/>
  <dc:description/>
  <cp:lastModifiedBy>Herbert Guðmundsson</cp:lastModifiedBy>
  <cp:revision/>
  <dcterms:created xsi:type="dcterms:W3CDTF">2024-04-17T02:22:50Z</dcterms:created>
  <dcterms:modified xsi:type="dcterms:W3CDTF">2024-04-17T17:38:33Z</dcterms:modified>
  <cp:category/>
  <cp:contentStatus/>
</cp:coreProperties>
</file>