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635" documentId="8_{7E193C6A-3FF1-46E3-A2D4-5FE12A9BA839}" xr6:coauthVersionLast="47" xr6:coauthVersionMax="47" xr10:uidLastSave="{5C112159-569F-469A-A0CF-E84A2F0767B7}"/>
  <bookViews>
    <workbookView xWindow="-108" yWindow="-108" windowWidth="30936" windowHeight="17496" xr2:uid="{8AE3CAB9-1DDD-4C7A-BCF0-E281925CF4F9}"/>
  </bookViews>
  <sheets>
    <sheet name="Main" sheetId="2" r:id="rId1"/>
    <sheet name="Model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0" i="1" l="1"/>
  <c r="X54" i="1"/>
  <c r="X57" i="1" s="1"/>
  <c r="X48" i="1"/>
  <c r="X44" i="1"/>
  <c r="X46" i="1" s="1"/>
  <c r="X50" i="1" s="1"/>
  <c r="X40" i="1"/>
  <c r="X35" i="1"/>
  <c r="X34" i="1"/>
  <c r="X33" i="1"/>
  <c r="Y60" i="1"/>
  <c r="Y54" i="1"/>
  <c r="Y57" i="1" s="1"/>
  <c r="Y48" i="1"/>
  <c r="Y44" i="1"/>
  <c r="Y46" i="1" s="1"/>
  <c r="Y40" i="1"/>
  <c r="Y35" i="1"/>
  <c r="Y34" i="1"/>
  <c r="Y33" i="1" s="1"/>
  <c r="Y30" i="1"/>
  <c r="Y29" i="1"/>
  <c r="Y28" i="1"/>
  <c r="Y27" i="1"/>
  <c r="X30" i="1"/>
  <c r="X29" i="1"/>
  <c r="X28" i="1"/>
  <c r="X27" i="1"/>
  <c r="W30" i="1"/>
  <c r="W29" i="1"/>
  <c r="W28" i="1"/>
  <c r="W27" i="1"/>
  <c r="V30" i="1"/>
  <c r="V29" i="1"/>
  <c r="V28" i="1"/>
  <c r="V27" i="1"/>
  <c r="U30" i="1"/>
  <c r="U29" i="1"/>
  <c r="U28" i="1"/>
  <c r="U27" i="1"/>
  <c r="X24" i="1"/>
  <c r="W24" i="1"/>
  <c r="V24" i="1"/>
  <c r="Y24" i="1"/>
  <c r="U8" i="1"/>
  <c r="V8" i="1"/>
  <c r="V9" i="1"/>
  <c r="V15" i="1"/>
  <c r="U15" i="1"/>
  <c r="U9" i="1"/>
  <c r="U5" i="1"/>
  <c r="V5" i="1"/>
  <c r="W15" i="1"/>
  <c r="W9" i="1"/>
  <c r="W5" i="1"/>
  <c r="X19" i="1"/>
  <c r="X17" i="1"/>
  <c r="X14" i="1"/>
  <c r="X13" i="1"/>
  <c r="X12" i="1"/>
  <c r="X11" i="1"/>
  <c r="X8" i="1"/>
  <c r="X7" i="1"/>
  <c r="X6" i="1"/>
  <c r="X4" i="1"/>
  <c r="X3" i="1"/>
  <c r="Y19" i="1"/>
  <c r="Y17" i="1"/>
  <c r="Y14" i="1"/>
  <c r="Y13" i="1"/>
  <c r="Y12" i="1"/>
  <c r="Y11" i="1"/>
  <c r="Y8" i="1"/>
  <c r="Y7" i="1"/>
  <c r="Y6" i="1"/>
  <c r="Y4" i="1"/>
  <c r="Y3" i="1"/>
  <c r="L27" i="1"/>
  <c r="O25" i="1"/>
  <c r="N25" i="1"/>
  <c r="M25" i="1"/>
  <c r="L25" i="1"/>
  <c r="K25" i="1"/>
  <c r="J25" i="1"/>
  <c r="I25" i="1"/>
  <c r="O24" i="1"/>
  <c r="N24" i="1"/>
  <c r="M24" i="1"/>
  <c r="L24" i="1"/>
  <c r="P24" i="1"/>
  <c r="P25" i="1"/>
  <c r="H15" i="1"/>
  <c r="H9" i="1"/>
  <c r="H5" i="1"/>
  <c r="H27" i="1" s="1"/>
  <c r="L48" i="1"/>
  <c r="M48" i="1"/>
  <c r="I15" i="1"/>
  <c r="I9" i="1"/>
  <c r="I5" i="1"/>
  <c r="I27" i="1" s="1"/>
  <c r="M15" i="1"/>
  <c r="M9" i="1"/>
  <c r="M5" i="1"/>
  <c r="M27" i="1" s="1"/>
  <c r="N48" i="1"/>
  <c r="J15" i="1"/>
  <c r="J9" i="1"/>
  <c r="J5" i="1"/>
  <c r="J27" i="1" s="1"/>
  <c r="K48" i="1"/>
  <c r="O48" i="1"/>
  <c r="N15" i="1"/>
  <c r="N9" i="1"/>
  <c r="N5" i="1"/>
  <c r="N27" i="1" s="1"/>
  <c r="K15" i="1"/>
  <c r="K9" i="1"/>
  <c r="K5" i="1"/>
  <c r="K27" i="1" s="1"/>
  <c r="W35" i="1"/>
  <c r="V35" i="1"/>
  <c r="W34" i="1"/>
  <c r="V34" i="1"/>
  <c r="S35" i="1"/>
  <c r="R35" i="1"/>
  <c r="Q35" i="1"/>
  <c r="S34" i="1"/>
  <c r="R34" i="1"/>
  <c r="Q34" i="1"/>
  <c r="O35" i="1"/>
  <c r="N35" i="1"/>
  <c r="M35" i="1"/>
  <c r="L35" i="1"/>
  <c r="K35" i="1"/>
  <c r="J35" i="1"/>
  <c r="I35" i="1"/>
  <c r="H35" i="1"/>
  <c r="O34" i="1"/>
  <c r="N34" i="1"/>
  <c r="M34" i="1"/>
  <c r="L34" i="1"/>
  <c r="K34" i="1"/>
  <c r="K33" i="1" s="1"/>
  <c r="J34" i="1"/>
  <c r="J33" i="1" s="1"/>
  <c r="I34" i="1"/>
  <c r="I33" i="1" s="1"/>
  <c r="H34" i="1"/>
  <c r="P35" i="1"/>
  <c r="P34" i="1"/>
  <c r="V60" i="1"/>
  <c r="V54" i="1"/>
  <c r="V57" i="1" s="1"/>
  <c r="V44" i="1"/>
  <c r="V46" i="1" s="1"/>
  <c r="V40" i="1"/>
  <c r="W60" i="1"/>
  <c r="W54" i="1"/>
  <c r="W57" i="1" s="1"/>
  <c r="W44" i="1"/>
  <c r="W46" i="1" s="1"/>
  <c r="W40" i="1"/>
  <c r="S60" i="1"/>
  <c r="S54" i="1"/>
  <c r="S57" i="1" s="1"/>
  <c r="S44" i="1"/>
  <c r="S46" i="1" s="1"/>
  <c r="S40" i="1"/>
  <c r="R60" i="1"/>
  <c r="R54" i="1"/>
  <c r="R57" i="1" s="1"/>
  <c r="R44" i="1"/>
  <c r="R46" i="1" s="1"/>
  <c r="R40" i="1"/>
  <c r="Q60" i="1"/>
  <c r="Q54" i="1"/>
  <c r="Q57" i="1" s="1"/>
  <c r="Q44" i="1"/>
  <c r="Q46" i="1" s="1"/>
  <c r="Q40" i="1"/>
  <c r="O60" i="1"/>
  <c r="N60" i="1"/>
  <c r="M60" i="1"/>
  <c r="L60" i="1"/>
  <c r="K60" i="1"/>
  <c r="J60" i="1"/>
  <c r="I60" i="1"/>
  <c r="H60" i="1"/>
  <c r="O54" i="1"/>
  <c r="O57" i="1" s="1"/>
  <c r="N54" i="1"/>
  <c r="N57" i="1" s="1"/>
  <c r="M54" i="1"/>
  <c r="M57" i="1" s="1"/>
  <c r="L54" i="1"/>
  <c r="L57" i="1" s="1"/>
  <c r="K54" i="1"/>
  <c r="K57" i="1" s="1"/>
  <c r="J54" i="1"/>
  <c r="J57" i="1" s="1"/>
  <c r="I54" i="1"/>
  <c r="I57" i="1" s="1"/>
  <c r="H54" i="1"/>
  <c r="H57" i="1" s="1"/>
  <c r="O44" i="1"/>
  <c r="O46" i="1" s="1"/>
  <c r="N44" i="1"/>
  <c r="N46" i="1" s="1"/>
  <c r="M44" i="1"/>
  <c r="M46" i="1" s="1"/>
  <c r="L44" i="1"/>
  <c r="L46" i="1" s="1"/>
  <c r="K44" i="1"/>
  <c r="K46" i="1" s="1"/>
  <c r="J44" i="1"/>
  <c r="J46" i="1" s="1"/>
  <c r="I44" i="1"/>
  <c r="I46" i="1" s="1"/>
  <c r="H44" i="1"/>
  <c r="H46" i="1" s="1"/>
  <c r="O40" i="1"/>
  <c r="N40" i="1"/>
  <c r="M40" i="1"/>
  <c r="L40" i="1"/>
  <c r="K40" i="1"/>
  <c r="J40" i="1"/>
  <c r="I40" i="1"/>
  <c r="H40" i="1"/>
  <c r="P60" i="1"/>
  <c r="P54" i="1"/>
  <c r="P57" i="1" s="1"/>
  <c r="P48" i="1"/>
  <c r="P44" i="1"/>
  <c r="P46" i="1" s="1"/>
  <c r="P40" i="1"/>
  <c r="O15" i="1"/>
  <c r="O9" i="1"/>
  <c r="O5" i="1"/>
  <c r="O27" i="1" s="1"/>
  <c r="L15" i="1"/>
  <c r="L9" i="1"/>
  <c r="L5" i="1"/>
  <c r="P15" i="1"/>
  <c r="P9" i="1"/>
  <c r="P5" i="1"/>
  <c r="P27" i="1" s="1"/>
  <c r="L6" i="2"/>
  <c r="L4" i="2"/>
  <c r="L7" i="2" s="1"/>
  <c r="L8" i="2"/>
  <c r="X61" i="1" l="1"/>
  <c r="Y50" i="1"/>
  <c r="Y61" i="1"/>
  <c r="R33" i="1"/>
  <c r="P33" i="1"/>
  <c r="Y5" i="1"/>
  <c r="Y9" i="1"/>
  <c r="Q33" i="1"/>
  <c r="Y15" i="1"/>
  <c r="X9" i="1"/>
  <c r="P10" i="1"/>
  <c r="P28" i="1" s="1"/>
  <c r="X15" i="1"/>
  <c r="U10" i="1"/>
  <c r="U16" i="1" s="1"/>
  <c r="U18" i="1" s="1"/>
  <c r="U20" i="1" s="1"/>
  <c r="U21" i="1" s="1"/>
  <c r="X5" i="1"/>
  <c r="W33" i="1"/>
  <c r="V10" i="1"/>
  <c r="V16" i="1" s="1"/>
  <c r="V18" i="1" s="1"/>
  <c r="V20" i="1" s="1"/>
  <c r="V21" i="1" s="1"/>
  <c r="W10" i="1"/>
  <c r="W16" i="1"/>
  <c r="W18" i="1" s="1"/>
  <c r="W20" i="1" s="1"/>
  <c r="W21" i="1" s="1"/>
  <c r="H33" i="1"/>
  <c r="J50" i="1"/>
  <c r="I50" i="1"/>
  <c r="S33" i="1"/>
  <c r="H10" i="1"/>
  <c r="R50" i="1"/>
  <c r="W61" i="1"/>
  <c r="P61" i="1"/>
  <c r="H50" i="1"/>
  <c r="W50" i="1"/>
  <c r="H61" i="1"/>
  <c r="V33" i="1"/>
  <c r="P16" i="1"/>
  <c r="I61" i="1"/>
  <c r="O33" i="1"/>
  <c r="J61" i="1"/>
  <c r="K50" i="1"/>
  <c r="L33" i="1"/>
  <c r="L61" i="1"/>
  <c r="L50" i="1"/>
  <c r="M61" i="1"/>
  <c r="M50" i="1"/>
  <c r="M33" i="1"/>
  <c r="I10" i="1"/>
  <c r="M10" i="1"/>
  <c r="N33" i="1"/>
  <c r="N61" i="1"/>
  <c r="N50" i="1"/>
  <c r="J10" i="1"/>
  <c r="N10" i="1"/>
  <c r="K61" i="1"/>
  <c r="P50" i="1"/>
  <c r="O61" i="1"/>
  <c r="O50" i="1"/>
  <c r="K10" i="1"/>
  <c r="O10" i="1"/>
  <c r="V50" i="1"/>
  <c r="V61" i="1"/>
  <c r="S50" i="1"/>
  <c r="S61" i="1"/>
  <c r="R61" i="1"/>
  <c r="Q50" i="1"/>
  <c r="Q61" i="1"/>
  <c r="L10" i="1"/>
  <c r="O16" i="1" l="1"/>
  <c r="O28" i="1"/>
  <c r="I16" i="1"/>
  <c r="I28" i="1"/>
  <c r="K16" i="1"/>
  <c r="K28" i="1"/>
  <c r="P18" i="1"/>
  <c r="P20" i="1" s="1"/>
  <c r="P30" i="1"/>
  <c r="M16" i="1"/>
  <c r="M28" i="1"/>
  <c r="N16" i="1"/>
  <c r="N30" i="1" s="1"/>
  <c r="N28" i="1"/>
  <c r="H16" i="1"/>
  <c r="X10" i="1"/>
  <c r="H28" i="1"/>
  <c r="L16" i="1"/>
  <c r="L28" i="1"/>
  <c r="Y10" i="1"/>
  <c r="J16" i="1"/>
  <c r="J28" i="1"/>
  <c r="N18" i="1"/>
  <c r="N20" i="1" s="1"/>
  <c r="K18" i="1" l="1"/>
  <c r="K20" i="1" s="1"/>
  <c r="K30" i="1"/>
  <c r="L18" i="1"/>
  <c r="L30" i="1"/>
  <c r="Y16" i="1"/>
  <c r="J18" i="1"/>
  <c r="J20" i="1" s="1"/>
  <c r="J30" i="1"/>
  <c r="I18" i="1"/>
  <c r="I20" i="1" s="1"/>
  <c r="I30" i="1"/>
  <c r="N21" i="1"/>
  <c r="N29" i="1"/>
  <c r="P21" i="1"/>
  <c r="P29" i="1"/>
  <c r="H18" i="1"/>
  <c r="H30" i="1"/>
  <c r="X16" i="1"/>
  <c r="M18" i="1"/>
  <c r="M20" i="1" s="1"/>
  <c r="M30" i="1"/>
  <c r="O18" i="1"/>
  <c r="O20" i="1" s="1"/>
  <c r="O30" i="1"/>
  <c r="I21" i="1" l="1"/>
  <c r="I29" i="1"/>
  <c r="H20" i="1"/>
  <c r="X18" i="1"/>
  <c r="J21" i="1"/>
  <c r="J29" i="1"/>
  <c r="O21" i="1"/>
  <c r="O29" i="1"/>
  <c r="L20" i="1"/>
  <c r="Y18" i="1"/>
  <c r="M21" i="1"/>
  <c r="M29" i="1"/>
  <c r="K21" i="1"/>
  <c r="K29" i="1"/>
  <c r="H21" i="1" l="1"/>
  <c r="H29" i="1"/>
  <c r="X20" i="1"/>
  <c r="X21" i="1" s="1"/>
  <c r="L21" i="1"/>
  <c r="Y20" i="1"/>
  <c r="Y21" i="1" s="1"/>
  <c r="L29" i="1"/>
</calcChain>
</file>

<file path=xl/sharedStrings.xml><?xml version="1.0" encoding="utf-8"?>
<sst xmlns="http://schemas.openxmlformats.org/spreadsheetml/2006/main" count="119" uniqueCount="110">
  <si>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</si>
  <si>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</si>
  <si>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</si>
  <si>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</si>
  <si>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</si>
  <si>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</si>
  <si>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</si>
  <si>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</si>
  <si>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</si>
  <si>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</si>
  <si>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</si>
  <si>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</si>
  <si>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</si>
  <si>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</si>
  <si>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</si>
  <si>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</si>
  <si>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</si>
  <si>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</si>
  <si>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</si>
  <si>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</si>
  <si>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</si>
  <si>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</si>
  <si>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</si>
  <si>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</si>
  <si>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</si>
  <si>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</si>
  <si>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</si>
  <si>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</si>
  <si>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ARROW ELECTRONICS, INC</t>
  </si>
  <si>
    <t>ARW</t>
  </si>
  <si>
    <t>Sean J. Kerins</t>
  </si>
  <si>
    <t>Executives</t>
  </si>
  <si>
    <t>Name</t>
  </si>
  <si>
    <t>Age</t>
  </si>
  <si>
    <t>Role</t>
  </si>
  <si>
    <t>Rajesh K. Agrawal</t>
  </si>
  <si>
    <t>Carine L. Jean-Claude</t>
  </si>
  <si>
    <t>Richard J. Marano</t>
  </si>
  <si>
    <t>Kristin D. Russell</t>
  </si>
  <si>
    <t>Gretchen K. Zech</t>
  </si>
  <si>
    <t>CFO</t>
  </si>
  <si>
    <t>Legal Officer</t>
  </si>
  <si>
    <t>Global Components</t>
  </si>
  <si>
    <t>Enterprise Computing</t>
  </si>
  <si>
    <t>Chief Governance, and Human Resources</t>
  </si>
  <si>
    <t>Arrow Electronics is a global provider of products, services, and solutions to industrial and</t>
  </si>
  <si>
    <t xml:space="preserve">commercial users of electronic components and enterprise computing solutions. The company has a </t>
  </si>
  <si>
    <t>broad portfolio of product offerings available from electronic components to enterprise computing</t>
  </si>
  <si>
    <t xml:space="preserve">solutions. </t>
  </si>
  <si>
    <r>
      <t xml:space="preserve">Incorporated in New York, </t>
    </r>
    <r>
      <rPr>
        <b/>
        <sz val="12"/>
        <color theme="1"/>
        <rFont val="Times New Roman"/>
        <family val="1"/>
      </rPr>
      <t>1946.</t>
    </r>
  </si>
  <si>
    <t>The customer base consists of original equipment manufacturers (OEMs), value-added resellers (VAR)</t>
  </si>
  <si>
    <t>managed service providers (MSPs), contract manufacturers (CM's), and other commercial customers.</t>
  </si>
  <si>
    <t>These customers include manufacturers of industrial equipment (such as machine tools, factory</t>
  </si>
  <si>
    <t>automation, and robotic equipment) and products serving industries ranging from industrial, auto-</t>
  </si>
  <si>
    <t>motive and transportation, telecom, and consumer electronics, among others.</t>
  </si>
  <si>
    <t xml:space="preserve">The company has two reportable segments. </t>
  </si>
  <si>
    <t>Global components business</t>
  </si>
  <si>
    <t>Global enterprise computing solutions ("ECS")</t>
  </si>
  <si>
    <t>Sales</t>
  </si>
  <si>
    <t>COGS</t>
  </si>
  <si>
    <t>Gross Profit</t>
  </si>
  <si>
    <t>SG&amp;A</t>
  </si>
  <si>
    <t>D&amp;A</t>
  </si>
  <si>
    <t>Restructuring</t>
  </si>
  <si>
    <t>Operating expenses</t>
  </si>
  <si>
    <t>Operating income</t>
  </si>
  <si>
    <t>Equity in losses of affiliated companies</t>
  </si>
  <si>
    <t>Gain on investments</t>
  </si>
  <si>
    <t>Employee benefit plan</t>
  </si>
  <si>
    <t>Interest and other financing expense</t>
  </si>
  <si>
    <t>Pretax</t>
  </si>
  <si>
    <t>Taxes</t>
  </si>
  <si>
    <t>Net income</t>
  </si>
  <si>
    <t>Noncontrolling interest</t>
  </si>
  <si>
    <t>Net income to shareholders</t>
  </si>
  <si>
    <t>EPS</t>
  </si>
  <si>
    <t>Other expense total</t>
  </si>
  <si>
    <t>Cash and equivalents</t>
  </si>
  <si>
    <t>A/R</t>
  </si>
  <si>
    <t>Inventories</t>
  </si>
  <si>
    <t>OCA</t>
  </si>
  <si>
    <t>Current assets</t>
  </si>
  <si>
    <t>PP&amp;E</t>
  </si>
  <si>
    <t>Land</t>
  </si>
  <si>
    <t>Buildings and improvements</t>
  </si>
  <si>
    <t>Machinery and equipment</t>
  </si>
  <si>
    <t>Minus: Accumulated D&amp;A</t>
  </si>
  <si>
    <t>Total PP&amp;E at cost</t>
  </si>
  <si>
    <t>Investments in affiliated companies</t>
  </si>
  <si>
    <t>Intangible + Goodwill</t>
  </si>
  <si>
    <t>OA</t>
  </si>
  <si>
    <t>Assets</t>
  </si>
  <si>
    <t>A/P</t>
  </si>
  <si>
    <t>Accrued expenses</t>
  </si>
  <si>
    <t>Short-term borrowings + current portion of long-term debt</t>
  </si>
  <si>
    <t>Current liabilities</t>
  </si>
  <si>
    <t>Long-term debt</t>
  </si>
  <si>
    <t>Other liabilities</t>
  </si>
  <si>
    <t>SE</t>
  </si>
  <si>
    <t>Total equity</t>
  </si>
  <si>
    <t>L+SE</t>
  </si>
  <si>
    <t>Liabilities</t>
  </si>
  <si>
    <t>Net debt</t>
  </si>
  <si>
    <t>Gross Margin %</t>
  </si>
  <si>
    <t>Operating Margin %</t>
  </si>
  <si>
    <t>Net Margin %</t>
  </si>
  <si>
    <t>Tax Rate %</t>
  </si>
  <si>
    <t>Revenue Y/Y</t>
  </si>
  <si>
    <t>Revenue Q/Q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</si>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</sst>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5" xfId="0" applyFont="1" applyBorder="1"/>
    <xf numFmtId="0" fontId="9" fillId="0" borderId="7" xfId="0" applyFont="1" applyBorder="1"/>
    <xf numFmtId="0" fontId="0" fillId="0" borderId="8" xfId="0" applyBorder="1"/>
    <xf numFmtId="0" fontId="0" fillId="0" borderId="9" xfId="0" applyBorder="1"/>
    <xf numFmtId="0" fontId="10" fillId="0" borderId="5" xfId="0" applyFont="1" applyBorder="1"/>
    <xf numFmtId="0" fontId="10" fillId="0" borderId="7" xfId="0" applyFont="1" applyBorder="1"/>
    <xf numFmtId="0" fontId="11" fillId="2" borderId="0" xfId="0" applyFont="1" applyFill="1"/>
    <xf numFmtId="14" fontId="11" fillId="2" borderId="0" xfId="0" applyNumberFormat="1" applyFont="1" applyFill="1"/>
    <xf numFmtId="3" fontId="0" fillId="2" borderId="10" xfId="0" applyNumberFormat="1" applyFill="1" applyBorder="1"/>
    <xf numFmtId="3" fontId="0" fillId="0" borderId="10" xfId="0" applyNumberFormat="1" applyBorder="1"/>
    <xf numFmtId="3" fontId="8" fillId="2" borderId="0" xfId="0" applyNumberFormat="1" applyFont="1" applyFill="1"/>
    <xf numFmtId="3" fontId="8" fillId="0" borderId="0" xfId="0" applyNumberFormat="1" applyFont="1"/>
    <xf numFmtId="3" fontId="8" fillId="2" borderId="10" xfId="0" applyNumberFormat="1" applyFont="1" applyFill="1" applyBorder="1"/>
    <xf numFmtId="3" fontId="8" fillId="0" borderId="10" xfId="0" applyNumberFormat="1" applyFont="1" applyBorder="1"/>
    <xf numFmtId="0" fontId="8" fillId="2" borderId="10" xfId="0" applyFont="1" applyFill="1" applyBorder="1"/>
    <xf numFmtId="0" fontId="8" fillId="0" borderId="10" xfId="0" applyFont="1" applyBorder="1"/>
    <xf numFmtId="4" fontId="0" fillId="0" borderId="0" xfId="0" applyNumberFormat="1"/>
    <xf numFmtId="3" fontId="0" fillId="2" borderId="0" xfId="0" applyNumberFormat="1" applyFill="1" applyAlignment="1">
      <alignment horizontal="left" indent="1"/>
    </xf>
    <xf numFmtId="3" fontId="8" fillId="2" borderId="10" xfId="0" applyNumberFormat="1" applyFont="1" applyFill="1" applyBorder="1" applyAlignment="1">
      <alignment horizontal="left" indent="1"/>
    </xf>
    <xf numFmtId="3" fontId="0" fillId="2" borderId="11" xfId="0" applyNumberFormat="1" applyFill="1" applyBorder="1" applyAlignment="1">
      <alignment horizontal="left" indent="1"/>
    </xf>
    <xf numFmtId="3" fontId="0" fillId="0" borderId="11" xfId="0" applyNumberFormat="1" applyBorder="1"/>
    <xf numFmtId="0" fontId="12" fillId="2" borderId="0" xfId="0" applyFont="1" applyFill="1"/>
    <xf numFmtId="0" fontId="12" fillId="0" borderId="0" xfId="0" applyFont="1"/>
    <xf numFmtId="0" fontId="12" fillId="2" borderId="11" xfId="0" applyFont="1" applyFill="1" applyBorder="1"/>
    <xf numFmtId="0" fontId="12" fillId="0" borderId="11" xfId="0" applyFont="1" applyBorder="1"/>
    <xf numFmtId="0" fontId="13" fillId="2" borderId="0" xfId="0" applyFont="1" applyFill="1"/>
    <xf numFmtId="0" fontId="13" fillId="0" borderId="0" xfId="0" applyFont="1"/>
    <xf numFmtId="3" fontId="12" fillId="0" borderId="0" xfId="0" applyNumberFormat="1" applyFont="1"/>
    <xf numFmtId="3" fontId="12" fillId="0" borderId="11" xfId="0" applyNumberFormat="1" applyFont="1" applyBorder="1"/>
    <xf numFmtId="3" fontId="13" fillId="0" borderId="0" xfId="0" applyNumberFormat="1" applyFont="1"/>
    <xf numFmtId="3" fontId="12" fillId="2" borderId="3" xfId="0" applyNumberFormat="1" applyFont="1" applyFill="1" applyBorder="1"/>
    <xf numFmtId="3" fontId="12" fillId="0" borderId="3" xfId="0" applyNumberFormat="1" applyFont="1" applyBorder="1"/>
    <xf numFmtId="3" fontId="12" fillId="2" borderId="8" xfId="0" applyNumberFormat="1" applyFont="1" applyFill="1" applyBorder="1"/>
    <xf numFmtId="3" fontId="12" fillId="0" borderId="8" xfId="0" applyNumberFormat="1" applyFont="1" applyBorder="1"/>
    <xf numFmtId="3" fontId="12" fillId="2" borderId="0" xfId="0" applyNumberFormat="1" applyFont="1" applyFill="1"/>
    <xf numFmtId="0" fontId="12" fillId="2" borderId="8" xfId="0" applyFont="1" applyFill="1" applyBorder="1"/>
    <xf numFmtId="0" fontId="12" fillId="0" borderId="8" xfId="0" applyFont="1" applyBorder="1"/>
    <xf numFmtId="9" fontId="12" fillId="0" borderId="3" xfId="0" applyNumberFormat="1" applyFont="1" applyBorder="1"/>
    <xf numFmtId="9" fontId="12" fillId="0" borderId="8" xfId="0" applyNumberFormat="1" applyFont="1" applyBorder="1"/>
    <xf numFmtId="9" fontId="12" fillId="0" borderId="0" xfId="0" applyNumberFormat="1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100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5255</xdr:rowOff>
    </xdr:from>
    <xdr:to>
      <xdr:col>16</xdr:col>
      <xdr:colOff>493</xdr:colOff>
      <xdr:row>100</xdr:row>
      <xdr:rowOff>161564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886F7AB0-C51E-4287-882E-FF02F2948C90}"/>
            </a:ext>
          </a:extLst>
        </xdr:cNvPr>
        <xdr:cNvCxnSpPr/>
      </xdr:nvCxnSpPr>
      <xdr:spPr>
        <a:xfrm>
          <a:off x="11514083" y="273269"/>
          <a:ext cx="493" cy="16710102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32"/>
  <sheetViews>
    <sheetView tabSelected="1" workbookViewId="0">
      <selection activeCell="F20" sqref="F20"/>
    </sheetView>
  </sheetViews>
  <sheetFormatPr defaultRowHeight="14.4" x14ac:dyDescent="0.3"/>
  <cols>
    <col min="2" max="2" width="18" customWidth="1"/>
    <col min="4" max="4" width="19.21875" customWidth="1"/>
    <col min="12" max="12" width="13.88671875" customWidth="1"/>
    <col min="13" max="13" width="9.109375" customWidth="1"/>
  </cols>
  <sheetData>
    <row r="1" spans="2:13" ht="21" x14ac:dyDescent="0.4">
      <c r="B1" s="9" t="s">
        <v>18</v>
      </c>
      <c r="K1" s="58" t="s">
        <v>29</v>
      </c>
      <c r="L1" s="58"/>
    </row>
    <row r="2" spans="2:13" ht="22.8" x14ac:dyDescent="0.3">
      <c r="B2" s="59" t="s">
        <v>28</v>
      </c>
      <c r="C2" s="59"/>
      <c r="D2" s="59"/>
      <c r="E2" s="59"/>
      <c r="F2" s="59"/>
      <c r="G2" s="59"/>
      <c r="H2" s="59"/>
      <c r="I2" s="59"/>
      <c r="K2" s="1" t="s">
        <v>0</v>
      </c>
      <c r="L2" s="4">
        <v>127.49</v>
      </c>
    </row>
    <row r="3" spans="2:13" x14ac:dyDescent="0.3">
      <c r="K3" s="1" t="s">
        <v>1</v>
      </c>
      <c r="L3" s="2">
        <v>53.229855999999998</v>
      </c>
      <c r="M3" t="s">
        <v>24</v>
      </c>
    </row>
    <row r="4" spans="2:13" ht="15.6" x14ac:dyDescent="0.3">
      <c r="B4" s="13" t="s">
        <v>49</v>
      </c>
      <c r="C4" s="14"/>
      <c r="D4" s="14"/>
      <c r="E4" s="14"/>
      <c r="F4" s="14"/>
      <c r="G4" s="14"/>
      <c r="H4" s="14"/>
      <c r="I4" s="15"/>
      <c r="K4" s="1" t="s">
        <v>2</v>
      </c>
      <c r="L4" s="2">
        <f>L3*L2</f>
        <v>6786.2743414399993</v>
      </c>
    </row>
    <row r="5" spans="2:13" x14ac:dyDescent="0.3">
      <c r="B5" s="16"/>
      <c r="I5" s="17"/>
      <c r="K5" s="1" t="s">
        <v>3</v>
      </c>
      <c r="L5" s="2">
        <v>242.81</v>
      </c>
      <c r="M5" t="s">
        <v>24</v>
      </c>
    </row>
    <row r="6" spans="2:13" ht="15.6" x14ac:dyDescent="0.3">
      <c r="B6" s="18" t="s">
        <v>45</v>
      </c>
      <c r="I6" s="17"/>
      <c r="K6" s="1" t="s">
        <v>4</v>
      </c>
      <c r="L6" s="2">
        <f>2632.25+945.698</f>
        <v>3577.9479999999999</v>
      </c>
      <c r="M6" t="s">
        <v>24</v>
      </c>
    </row>
    <row r="7" spans="2:13" ht="15.6" x14ac:dyDescent="0.3">
      <c r="B7" s="18" t="s">
        <v>46</v>
      </c>
      <c r="I7" s="17"/>
      <c r="K7" s="1" t="s">
        <v>5</v>
      </c>
      <c r="L7" s="2">
        <f>L4-L5+L6</f>
        <v>10121.412341439998</v>
      </c>
    </row>
    <row r="8" spans="2:13" ht="15.6" x14ac:dyDescent="0.3">
      <c r="B8" s="18" t="s">
        <v>47</v>
      </c>
      <c r="I8" s="17"/>
      <c r="K8" s="1" t="s">
        <v>6</v>
      </c>
      <c r="L8" s="2">
        <f>L5-L6</f>
        <v>-3335.1379999999999</v>
      </c>
    </row>
    <row r="9" spans="2:13" ht="15.6" x14ac:dyDescent="0.3">
      <c r="B9" s="19" t="s">
        <v>48</v>
      </c>
      <c r="C9" s="20"/>
      <c r="D9" s="20"/>
      <c r="E9" s="20"/>
      <c r="F9" s="20"/>
      <c r="G9" s="20"/>
      <c r="H9" s="20"/>
      <c r="I9" s="21"/>
      <c r="K9" s="1"/>
      <c r="L9" s="1"/>
    </row>
    <row r="10" spans="2:13" x14ac:dyDescent="0.3">
      <c r="K10" s="1" t="s">
        <v>7</v>
      </c>
      <c r="L10" s="1" t="s">
        <v>30</v>
      </c>
    </row>
    <row r="11" spans="2:13" ht="15.6" x14ac:dyDescent="0.3">
      <c r="B11" s="13" t="s">
        <v>50</v>
      </c>
      <c r="C11" s="14"/>
      <c r="D11" s="14"/>
      <c r="E11" s="14"/>
      <c r="F11" s="14"/>
      <c r="G11" s="14"/>
      <c r="H11" s="14"/>
      <c r="I11" s="15"/>
    </row>
    <row r="12" spans="2:13" ht="15.6" x14ac:dyDescent="0.3">
      <c r="B12" s="18" t="s">
        <v>51</v>
      </c>
      <c r="I12" s="17"/>
    </row>
    <row r="13" spans="2:13" ht="15.6" x14ac:dyDescent="0.3">
      <c r="B13" s="18" t="s">
        <v>52</v>
      </c>
      <c r="I13" s="17"/>
    </row>
    <row r="14" spans="2:13" ht="15.6" x14ac:dyDescent="0.3">
      <c r="B14" s="18" t="s">
        <v>53</v>
      </c>
      <c r="I14" s="17"/>
    </row>
    <row r="15" spans="2:13" ht="15.6" x14ac:dyDescent="0.3">
      <c r="B15" s="19" t="s">
        <v>54</v>
      </c>
      <c r="C15" s="20"/>
      <c r="D15" s="20"/>
      <c r="E15" s="20"/>
      <c r="F15" s="20"/>
      <c r="G15" s="20"/>
      <c r="H15" s="20"/>
      <c r="I15" s="21"/>
    </row>
    <row r="16" spans="2:13" x14ac:dyDescent="0.3">
      <c r="F16" s="5" t="s">
        <v>17</v>
      </c>
    </row>
    <row r="17" spans="2:4" ht="15.6" x14ac:dyDescent="0.3">
      <c r="B17" s="13" t="s">
        <v>55</v>
      </c>
      <c r="C17" s="14"/>
      <c r="D17" s="15"/>
    </row>
    <row r="18" spans="2:4" ht="15.6" x14ac:dyDescent="0.3">
      <c r="B18" s="22" t="s">
        <v>56</v>
      </c>
      <c r="D18" s="17"/>
    </row>
    <row r="19" spans="2:4" ht="15.6" x14ac:dyDescent="0.3">
      <c r="B19" s="23" t="s">
        <v>57</v>
      </c>
      <c r="C19" s="20"/>
      <c r="D19" s="21"/>
    </row>
    <row r="25" spans="2:4" ht="15.6" x14ac:dyDescent="0.3">
      <c r="B25" s="12" t="s">
        <v>31</v>
      </c>
    </row>
    <row r="26" spans="2:4" x14ac:dyDescent="0.3">
      <c r="B26" s="11" t="s">
        <v>32</v>
      </c>
      <c r="C26" s="11" t="s">
        <v>33</v>
      </c>
      <c r="D26" s="11" t="s">
        <v>34</v>
      </c>
    </row>
    <row r="27" spans="2:4" x14ac:dyDescent="0.3">
      <c r="B27" s="1" t="s">
        <v>30</v>
      </c>
      <c r="C27" s="1">
        <v>61</v>
      </c>
      <c r="D27" s="1" t="s">
        <v>7</v>
      </c>
    </row>
    <row r="28" spans="2:4" x14ac:dyDescent="0.3">
      <c r="B28" s="1" t="s">
        <v>35</v>
      </c>
      <c r="C28" s="1">
        <v>58</v>
      </c>
      <c r="D28" s="1" t="s">
        <v>40</v>
      </c>
    </row>
    <row r="29" spans="2:4" x14ac:dyDescent="0.3">
      <c r="B29" s="1" t="s">
        <v>36</v>
      </c>
      <c r="C29" s="1">
        <v>56</v>
      </c>
      <c r="D29" s="1" t="s">
        <v>41</v>
      </c>
    </row>
    <row r="30" spans="2:4" x14ac:dyDescent="0.3">
      <c r="B30" s="1" t="s">
        <v>37</v>
      </c>
      <c r="C30" s="1">
        <v>59</v>
      </c>
      <c r="D30" s="1" t="s">
        <v>42</v>
      </c>
    </row>
    <row r="31" spans="2:4" x14ac:dyDescent="0.3">
      <c r="B31" s="1" t="s">
        <v>38</v>
      </c>
      <c r="C31" s="1">
        <v>53</v>
      </c>
      <c r="D31" s="1" t="s">
        <v>43</v>
      </c>
    </row>
    <row r="32" spans="2:4" x14ac:dyDescent="0.3">
      <c r="B32" s="1" t="s">
        <v>39</v>
      </c>
      <c r="C32" s="1">
        <v>54</v>
      </c>
      <c r="D32" s="1" t="s">
        <v>44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61"/>
  <sheetViews>
    <sheetView zoomScale="130" zoomScaleNormal="130" workbookViewId="0">
      <pane xSplit="1" ySplit="2" topLeftCell="L3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RowHeight="14.4" x14ac:dyDescent="0.3"/>
  <cols>
    <col min="1" max="1" width="34.5546875" style="7" customWidth="1"/>
    <col min="16" max="16" width="10" bestFit="1" customWidth="1"/>
  </cols>
  <sheetData>
    <row r="1" spans="1:44" s="7" customFormat="1" ht="21" x14ac:dyDescent="0.4">
      <c r="A1" s="8" t="s">
        <v>16</v>
      </c>
      <c r="C1" s="24"/>
      <c r="D1" s="24"/>
      <c r="E1" s="24"/>
      <c r="F1" s="24"/>
      <c r="G1" s="24"/>
      <c r="H1" s="25">
        <v>44653</v>
      </c>
      <c r="I1" s="25">
        <v>44743</v>
      </c>
      <c r="J1" s="25">
        <v>44834</v>
      </c>
      <c r="K1" s="25">
        <v>44926</v>
      </c>
      <c r="L1" s="25">
        <v>45017</v>
      </c>
      <c r="M1" s="25">
        <v>45108</v>
      </c>
      <c r="N1" s="25">
        <v>45199</v>
      </c>
      <c r="O1" s="25">
        <v>45291</v>
      </c>
      <c r="P1" s="25">
        <v>45381</v>
      </c>
      <c r="Q1" s="24"/>
      <c r="R1" s="24"/>
      <c r="S1" s="24"/>
    </row>
    <row r="2" spans="1:44" s="10" customFormat="1" x14ac:dyDescent="0.3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29" customFormat="1" x14ac:dyDescent="0.3">
      <c r="A3" s="28" t="s">
        <v>58</v>
      </c>
      <c r="H3" s="29">
        <v>9074.125</v>
      </c>
      <c r="I3" s="29">
        <v>9460.8420000000006</v>
      </c>
      <c r="J3" s="29">
        <v>9266.4320000000007</v>
      </c>
      <c r="K3" s="29">
        <v>9323.0229999999992</v>
      </c>
      <c r="L3" s="29">
        <v>8736.4279999999999</v>
      </c>
      <c r="M3" s="29">
        <v>8514.5159999999996</v>
      </c>
      <c r="N3" s="29">
        <v>8007.0190000000002</v>
      </c>
      <c r="O3" s="29">
        <v>7849.1570000000002</v>
      </c>
      <c r="P3" s="29">
        <v>6924.26</v>
      </c>
      <c r="U3" s="29">
        <v>28916.847000000002</v>
      </c>
      <c r="V3" s="29">
        <v>28673.363000000001</v>
      </c>
      <c r="W3" s="29">
        <v>34477.017999999996</v>
      </c>
      <c r="X3" s="29">
        <f>SUM(H3:K3)</f>
        <v>37124.421999999999</v>
      </c>
      <c r="Y3" s="29">
        <f>SUM(L3:O3)</f>
        <v>33107.120000000003</v>
      </c>
    </row>
    <row r="4" spans="1:44" s="3" customFormat="1" x14ac:dyDescent="0.3">
      <c r="A4" s="6" t="s">
        <v>59</v>
      </c>
      <c r="H4" s="3">
        <v>7866.6210000000001</v>
      </c>
      <c r="I4" s="3">
        <v>8224.6280000000006</v>
      </c>
      <c r="J4" s="3">
        <v>8079.52</v>
      </c>
      <c r="K4" s="3">
        <v>8117.0280000000002</v>
      </c>
      <c r="L4" s="3">
        <v>7622.6059999999998</v>
      </c>
      <c r="M4" s="3">
        <v>7448.4669999999996</v>
      </c>
      <c r="N4" s="3">
        <v>7027.4219999999996</v>
      </c>
      <c r="O4" s="3">
        <v>6859.607</v>
      </c>
      <c r="P4" s="3">
        <v>6066.4340000000002</v>
      </c>
      <c r="U4" s="3">
        <v>25618.466</v>
      </c>
      <c r="V4" s="3">
        <v>25482.233</v>
      </c>
      <c r="W4" s="3">
        <v>30274.652999999998</v>
      </c>
      <c r="X4" s="3">
        <f>SUM(H4:K4)</f>
        <v>32287.796999999999</v>
      </c>
      <c r="Y4" s="3">
        <f>SUM(L4:O4)</f>
        <v>28958.101999999999</v>
      </c>
    </row>
    <row r="5" spans="1:44" s="31" customFormat="1" x14ac:dyDescent="0.3">
      <c r="A5" s="30" t="s">
        <v>60</v>
      </c>
      <c r="H5" s="31">
        <f t="shared" ref="H5:P5" si="0">H3-H4</f>
        <v>1207.5039999999999</v>
      </c>
      <c r="I5" s="31">
        <f t="shared" si="0"/>
        <v>1236.2139999999999</v>
      </c>
      <c r="J5" s="31">
        <f t="shared" si="0"/>
        <v>1186.9120000000003</v>
      </c>
      <c r="K5" s="31">
        <f t="shared" si="0"/>
        <v>1205.994999999999</v>
      </c>
      <c r="L5" s="31">
        <f t="shared" si="0"/>
        <v>1113.8220000000001</v>
      </c>
      <c r="M5" s="31">
        <f t="shared" si="0"/>
        <v>1066.049</v>
      </c>
      <c r="N5" s="31">
        <f t="shared" si="0"/>
        <v>979.59700000000066</v>
      </c>
      <c r="O5" s="31">
        <f t="shared" si="0"/>
        <v>989.55000000000018</v>
      </c>
      <c r="P5" s="31">
        <f t="shared" si="0"/>
        <v>857.82600000000002</v>
      </c>
      <c r="U5" s="31">
        <f>U3-U4</f>
        <v>3298.3810000000012</v>
      </c>
      <c r="V5" s="31">
        <f>V3-V4</f>
        <v>3191.130000000001</v>
      </c>
      <c r="W5" s="31">
        <f>W3-W4</f>
        <v>4202.364999999998</v>
      </c>
      <c r="X5" s="31">
        <f>SUM(H5:K5)</f>
        <v>4836.6249999999991</v>
      </c>
      <c r="Y5" s="31">
        <f>SUM(L5:O5)</f>
        <v>4149.0180000000009</v>
      </c>
    </row>
    <row r="6" spans="1:44" s="3" customFormat="1" x14ac:dyDescent="0.3">
      <c r="A6" s="6" t="s">
        <v>61</v>
      </c>
      <c r="H6" s="3">
        <v>643.92499999999995</v>
      </c>
      <c r="I6" s="3">
        <v>653.64</v>
      </c>
      <c r="J6" s="3">
        <v>634.35299999999995</v>
      </c>
      <c r="K6" s="3">
        <v>635.09</v>
      </c>
      <c r="L6" s="3">
        <v>642.43100000000004</v>
      </c>
      <c r="M6" s="3">
        <v>617.202</v>
      </c>
      <c r="N6" s="3">
        <v>563.15</v>
      </c>
      <c r="O6" s="3">
        <v>590.03899999999999</v>
      </c>
      <c r="P6" s="3">
        <v>583.32600000000002</v>
      </c>
      <c r="U6" s="3">
        <v>2191.6120000000001</v>
      </c>
      <c r="V6" s="3">
        <v>2087.0500000000002</v>
      </c>
      <c r="W6" s="3">
        <v>2435.0300000000002</v>
      </c>
      <c r="X6" s="3">
        <f t="shared" ref="X6:X8" si="1">SUM(H6:K6)</f>
        <v>2567.0080000000003</v>
      </c>
      <c r="Y6" s="3">
        <f t="shared" ref="Y6:Y8" si="2">SUM(L6:O6)</f>
        <v>2412.8220000000001</v>
      </c>
    </row>
    <row r="7" spans="1:44" s="3" customFormat="1" x14ac:dyDescent="0.3">
      <c r="A7" s="6" t="s">
        <v>62</v>
      </c>
      <c r="H7" s="3">
        <v>48.305</v>
      </c>
      <c r="I7" s="3">
        <v>47.252000000000002</v>
      </c>
      <c r="J7" s="3">
        <v>46.23</v>
      </c>
      <c r="K7" s="3">
        <v>45.594999999999999</v>
      </c>
      <c r="L7" s="3">
        <v>46.679000000000002</v>
      </c>
      <c r="M7" s="3">
        <v>46.264000000000003</v>
      </c>
      <c r="N7" s="3">
        <v>45.005000000000003</v>
      </c>
      <c r="O7" s="3">
        <v>43.167999999999999</v>
      </c>
      <c r="P7" s="3">
        <v>41.726999999999997</v>
      </c>
      <c r="U7" s="3">
        <v>189.79</v>
      </c>
      <c r="V7" s="3">
        <v>189.05799999999999</v>
      </c>
      <c r="W7" s="3">
        <v>195.12</v>
      </c>
      <c r="X7" s="3">
        <f t="shared" si="1"/>
        <v>187.38200000000001</v>
      </c>
      <c r="Y7" s="3">
        <f t="shared" si="2"/>
        <v>181.11600000000001</v>
      </c>
    </row>
    <row r="8" spans="1:44" s="3" customFormat="1" x14ac:dyDescent="0.3">
      <c r="A8" s="6" t="s">
        <v>63</v>
      </c>
      <c r="H8" s="3">
        <v>4.8979999999999997</v>
      </c>
      <c r="I8" s="3">
        <v>2.4940000000000002</v>
      </c>
      <c r="J8" s="3">
        <v>3.6349999999999998</v>
      </c>
      <c r="K8" s="3">
        <v>2.714</v>
      </c>
      <c r="L8" s="3">
        <v>2.56</v>
      </c>
      <c r="M8" s="3">
        <v>10.333</v>
      </c>
      <c r="N8" s="3">
        <v>31.359000000000002</v>
      </c>
      <c r="O8" s="3">
        <v>39.664000000000001</v>
      </c>
      <c r="P8" s="3">
        <v>46.856000000000002</v>
      </c>
      <c r="U8" s="3">
        <f>698.246+21.252+89.785</f>
        <v>809.2829999999999</v>
      </c>
      <c r="V8" s="3">
        <f>13.288+7.223</f>
        <v>20.510999999999999</v>
      </c>
      <c r="W8" s="3">
        <v>15.393000000000001</v>
      </c>
      <c r="X8" s="3">
        <f t="shared" si="1"/>
        <v>13.741</v>
      </c>
      <c r="Y8" s="3">
        <f t="shared" si="2"/>
        <v>83.915999999999997</v>
      </c>
    </row>
    <row r="9" spans="1:44" s="29" customFormat="1" x14ac:dyDescent="0.3">
      <c r="A9" s="28" t="s">
        <v>64</v>
      </c>
      <c r="H9" s="29">
        <f t="shared" ref="H9:P9" si="3">SUM(H6:H8)</f>
        <v>697.12799999999993</v>
      </c>
      <c r="I9" s="29">
        <f t="shared" si="3"/>
        <v>703.38599999999997</v>
      </c>
      <c r="J9" s="29">
        <f t="shared" si="3"/>
        <v>684.21799999999996</v>
      </c>
      <c r="K9" s="29">
        <f t="shared" si="3"/>
        <v>683.39900000000011</v>
      </c>
      <c r="L9" s="29">
        <f t="shared" si="3"/>
        <v>691.67</v>
      </c>
      <c r="M9" s="29">
        <f t="shared" si="3"/>
        <v>673.79899999999998</v>
      </c>
      <c r="N9" s="29">
        <f t="shared" si="3"/>
        <v>639.51400000000001</v>
      </c>
      <c r="O9" s="29">
        <f t="shared" si="3"/>
        <v>672.87099999999998</v>
      </c>
      <c r="P9" s="29">
        <f t="shared" si="3"/>
        <v>671.90899999999999</v>
      </c>
      <c r="U9" s="29">
        <f>SUM(U6:U8)</f>
        <v>3190.6849999999999</v>
      </c>
      <c r="V9" s="29">
        <f>SUM(V6:V8)</f>
        <v>2296.6190000000001</v>
      </c>
      <c r="W9" s="29">
        <f>SUM(W6:W8)</f>
        <v>2645.5430000000001</v>
      </c>
      <c r="X9" s="29">
        <f>SUM(H9:K9)</f>
        <v>2768.1310000000003</v>
      </c>
      <c r="Y9" s="29">
        <f>SUM(L9:O9)</f>
        <v>2677.8540000000003</v>
      </c>
    </row>
    <row r="10" spans="1:44" s="31" customFormat="1" x14ac:dyDescent="0.3">
      <c r="A10" s="30" t="s">
        <v>65</v>
      </c>
      <c r="H10" s="31">
        <f t="shared" ref="H10:P10" si="4">H5-H9</f>
        <v>510.37599999999998</v>
      </c>
      <c r="I10" s="31">
        <f t="shared" si="4"/>
        <v>532.82799999999997</v>
      </c>
      <c r="J10" s="31">
        <f t="shared" si="4"/>
        <v>502.6940000000003</v>
      </c>
      <c r="K10" s="31">
        <f t="shared" si="4"/>
        <v>522.59599999999887</v>
      </c>
      <c r="L10" s="31">
        <f t="shared" si="4"/>
        <v>422.15200000000016</v>
      </c>
      <c r="M10" s="31">
        <f t="shared" si="4"/>
        <v>392.25</v>
      </c>
      <c r="N10" s="31">
        <f t="shared" si="4"/>
        <v>340.08300000000065</v>
      </c>
      <c r="O10" s="31">
        <f t="shared" si="4"/>
        <v>316.6790000000002</v>
      </c>
      <c r="P10" s="31">
        <f t="shared" si="4"/>
        <v>185.91700000000003</v>
      </c>
      <c r="U10" s="31">
        <f>U5-U9</f>
        <v>107.69600000000128</v>
      </c>
      <c r="V10" s="31">
        <f>V5-V9</f>
        <v>894.51100000000088</v>
      </c>
      <c r="W10" s="31">
        <f>W5-W9</f>
        <v>1556.8219999999978</v>
      </c>
      <c r="X10" s="31">
        <f>SUM(H10:K10)</f>
        <v>2068.4939999999988</v>
      </c>
      <c r="Y10" s="31">
        <f>SUM(L10:O10)</f>
        <v>1471.1640000000011</v>
      </c>
    </row>
    <row r="11" spans="1:44" s="3" customFormat="1" x14ac:dyDescent="0.3">
      <c r="A11" s="6" t="s">
        <v>66</v>
      </c>
      <c r="H11" s="3">
        <v>0.84299999999999997</v>
      </c>
      <c r="I11" s="3">
        <v>2.165</v>
      </c>
      <c r="J11" s="3">
        <v>1.718</v>
      </c>
      <c r="K11" s="3">
        <v>2.9380000000000002</v>
      </c>
      <c r="L11" s="3">
        <v>-0.08</v>
      </c>
      <c r="M11" s="3">
        <v>3.0609999999999999</v>
      </c>
      <c r="N11" s="3">
        <v>1.3919999999999999</v>
      </c>
      <c r="O11" s="3">
        <v>2.0339999999999998</v>
      </c>
      <c r="P11" s="3">
        <v>-0.34399999999999997</v>
      </c>
      <c r="U11" s="3">
        <v>-2.7650000000000001</v>
      </c>
      <c r="V11" s="3">
        <v>-0.53100000000000003</v>
      </c>
      <c r="W11" s="3">
        <v>3.508</v>
      </c>
      <c r="X11" s="3">
        <f t="shared" ref="X11:X14" si="5">SUM(H11:K11)</f>
        <v>7.6639999999999997</v>
      </c>
      <c r="Y11" s="3">
        <f t="shared" ref="Y11:Y13" si="6">SUM(L11:O11)</f>
        <v>6.4069999999999991</v>
      </c>
    </row>
    <row r="12" spans="1:44" s="3" customFormat="1" x14ac:dyDescent="0.3">
      <c r="A12" s="6" t="s">
        <v>67</v>
      </c>
      <c r="H12" s="3">
        <v>2.0110000000000001</v>
      </c>
      <c r="I12" s="3">
        <v>-9.7439999999999998</v>
      </c>
      <c r="J12" s="3">
        <v>-3.48</v>
      </c>
      <c r="K12" s="3">
        <v>8.3559999999999999</v>
      </c>
      <c r="L12" s="3">
        <v>10.311</v>
      </c>
      <c r="M12" s="3">
        <v>0.497</v>
      </c>
      <c r="N12" s="3">
        <v>-6.1589999999999998</v>
      </c>
      <c r="O12" s="3">
        <v>14.635</v>
      </c>
      <c r="P12" s="3">
        <v>9.8000000000000004E-2</v>
      </c>
      <c r="U12" s="3">
        <v>11.831</v>
      </c>
      <c r="V12" s="3">
        <v>5.3479999999999999</v>
      </c>
      <c r="W12" s="3">
        <v>12.951000000000001</v>
      </c>
      <c r="X12" s="3">
        <f t="shared" si="5"/>
        <v>-2.8569999999999993</v>
      </c>
      <c r="Y12" s="3">
        <f t="shared" si="6"/>
        <v>19.283999999999999</v>
      </c>
    </row>
    <row r="13" spans="1:44" s="3" customFormat="1" x14ac:dyDescent="0.3">
      <c r="A13" s="6" t="s">
        <v>68</v>
      </c>
      <c r="H13" s="3">
        <v>-0.88900000000000001</v>
      </c>
      <c r="I13" s="3">
        <v>-0.83499999999999996</v>
      </c>
      <c r="J13" s="3">
        <v>-0.89</v>
      </c>
      <c r="K13" s="3">
        <v>-0.88900000000000001</v>
      </c>
      <c r="L13" s="3">
        <v>-0.85299999999999998</v>
      </c>
      <c r="M13" s="3">
        <v>-0.80300000000000005</v>
      </c>
      <c r="N13" s="3">
        <v>-0.85399999999999998</v>
      </c>
      <c r="O13" s="3">
        <v>-1.2669999999999999</v>
      </c>
      <c r="P13" s="3">
        <v>-0.93300000000000005</v>
      </c>
      <c r="U13" s="3">
        <v>-24.849</v>
      </c>
      <c r="V13" s="3">
        <v>-2.859</v>
      </c>
      <c r="W13" s="3">
        <v>-5.18</v>
      </c>
      <c r="X13" s="3">
        <f t="shared" si="5"/>
        <v>-3.5030000000000001</v>
      </c>
      <c r="Y13" s="3">
        <f t="shared" si="6"/>
        <v>-3.7770000000000001</v>
      </c>
    </row>
    <row r="14" spans="1:44" s="3" customFormat="1" x14ac:dyDescent="0.3">
      <c r="A14" s="6" t="s">
        <v>69</v>
      </c>
      <c r="H14" s="3">
        <v>-33.984999999999999</v>
      </c>
      <c r="I14" s="3">
        <v>-38.506</v>
      </c>
      <c r="J14" s="3">
        <v>-50.936</v>
      </c>
      <c r="K14" s="3">
        <v>-62.220999999999997</v>
      </c>
      <c r="L14" s="3">
        <v>-79.658000000000001</v>
      </c>
      <c r="M14" s="3">
        <v>-84.834000000000003</v>
      </c>
      <c r="N14" s="3">
        <v>-82.18</v>
      </c>
      <c r="O14" s="3">
        <v>-82.052000000000007</v>
      </c>
      <c r="P14" s="3">
        <v>-79.603999999999999</v>
      </c>
      <c r="U14" s="3">
        <v>-203.74299999999999</v>
      </c>
      <c r="V14" s="3">
        <v>-137.21</v>
      </c>
      <c r="W14" s="3">
        <v>-131.727</v>
      </c>
      <c r="X14" s="3">
        <f t="shared" si="5"/>
        <v>-185.648</v>
      </c>
      <c r="Y14" s="3">
        <f>SUM(L14:O14)</f>
        <v>-328.72400000000005</v>
      </c>
    </row>
    <row r="15" spans="1:44" s="29" customFormat="1" x14ac:dyDescent="0.3">
      <c r="A15" s="28" t="s">
        <v>76</v>
      </c>
      <c r="H15" s="29">
        <f t="shared" ref="H15:P15" si="7">SUM(H11:H14)</f>
        <v>-32.019999999999996</v>
      </c>
      <c r="I15" s="29">
        <f t="shared" si="7"/>
        <v>-46.92</v>
      </c>
      <c r="J15" s="29">
        <f t="shared" si="7"/>
        <v>-53.588000000000001</v>
      </c>
      <c r="K15" s="29">
        <f t="shared" si="7"/>
        <v>-51.815999999999995</v>
      </c>
      <c r="L15" s="29">
        <f t="shared" si="7"/>
        <v>-70.28</v>
      </c>
      <c r="M15" s="29">
        <f t="shared" si="7"/>
        <v>-82.079000000000008</v>
      </c>
      <c r="N15" s="29">
        <f t="shared" si="7"/>
        <v>-87.801000000000002</v>
      </c>
      <c r="O15" s="29">
        <f t="shared" si="7"/>
        <v>-66.650000000000006</v>
      </c>
      <c r="P15" s="29">
        <f t="shared" si="7"/>
        <v>-80.783000000000001</v>
      </c>
      <c r="U15" s="29">
        <f t="shared" ref="U15:V15" si="8">SUM(U11:U14)</f>
        <v>-219.52600000000001</v>
      </c>
      <c r="V15" s="29">
        <f t="shared" si="8"/>
        <v>-135.25200000000001</v>
      </c>
      <c r="W15" s="29">
        <f>SUM(W11:W14)</f>
        <v>-120.44800000000001</v>
      </c>
      <c r="X15" s="29">
        <f>SUM(H15:K15)</f>
        <v>-184.34399999999999</v>
      </c>
      <c r="Y15" s="29">
        <f>SUM(L15:O15)</f>
        <v>-306.81000000000006</v>
      </c>
    </row>
    <row r="16" spans="1:44" s="27" customFormat="1" x14ac:dyDescent="0.3">
      <c r="A16" s="26" t="s">
        <v>70</v>
      </c>
      <c r="H16" s="27">
        <f t="shared" ref="H16:P16" si="9">H10+H15</f>
        <v>478.35599999999999</v>
      </c>
      <c r="I16" s="27">
        <f t="shared" si="9"/>
        <v>485.90799999999996</v>
      </c>
      <c r="J16" s="27">
        <f t="shared" si="9"/>
        <v>449.10600000000028</v>
      </c>
      <c r="K16" s="27">
        <f t="shared" si="9"/>
        <v>470.77999999999889</v>
      </c>
      <c r="L16" s="27">
        <f t="shared" si="9"/>
        <v>351.87200000000018</v>
      </c>
      <c r="M16" s="27">
        <f t="shared" si="9"/>
        <v>310.17099999999999</v>
      </c>
      <c r="N16" s="27">
        <f t="shared" si="9"/>
        <v>252.28200000000066</v>
      </c>
      <c r="O16" s="27">
        <f t="shared" si="9"/>
        <v>250.0290000000002</v>
      </c>
      <c r="P16" s="27">
        <f t="shared" si="9"/>
        <v>105.13400000000003</v>
      </c>
      <c r="U16" s="27">
        <f t="shared" ref="U16:V16" si="10">U10+U15</f>
        <v>-111.82999999999873</v>
      </c>
      <c r="V16" s="27">
        <f t="shared" si="10"/>
        <v>759.25900000000092</v>
      </c>
      <c r="W16" s="27">
        <f>W10+W15</f>
        <v>1436.3739999999977</v>
      </c>
      <c r="X16" s="27">
        <f>SUM(H16:K16)</f>
        <v>1884.149999999999</v>
      </c>
      <c r="Y16" s="27">
        <f>SUM(L16:O16)</f>
        <v>1164.354000000001</v>
      </c>
    </row>
    <row r="17" spans="1:25" s="3" customFormat="1" x14ac:dyDescent="0.3">
      <c r="A17" s="6" t="s">
        <v>71</v>
      </c>
      <c r="H17" s="3">
        <v>112.36</v>
      </c>
      <c r="I17" s="3">
        <v>114.413</v>
      </c>
      <c r="J17" s="3">
        <v>105.5</v>
      </c>
      <c r="K17" s="3">
        <v>116.71899999999999</v>
      </c>
      <c r="L17" s="3">
        <v>76.546999999999997</v>
      </c>
      <c r="M17" s="3">
        <v>72.38</v>
      </c>
      <c r="N17" s="3">
        <v>52.241</v>
      </c>
      <c r="O17" s="3">
        <v>53.823</v>
      </c>
      <c r="P17" s="3">
        <v>22.036000000000001</v>
      </c>
      <c r="U17" s="3">
        <v>88.337999999999994</v>
      </c>
      <c r="V17" s="3">
        <v>172.79499999999999</v>
      </c>
      <c r="W17" s="3">
        <v>325.90600000000001</v>
      </c>
      <c r="X17" s="3">
        <f t="shared" ref="X17:X19" si="11">SUM(H17:K17)</f>
        <v>448.99200000000002</v>
      </c>
      <c r="Y17" s="3">
        <f t="shared" ref="Y17:Y19" si="12">SUM(L17:O17)</f>
        <v>254.99100000000001</v>
      </c>
    </row>
    <row r="18" spans="1:25" s="3" customFormat="1" x14ac:dyDescent="0.3">
      <c r="A18" s="6" t="s">
        <v>72</v>
      </c>
      <c r="H18" s="3">
        <f t="shared" ref="H18:P18" si="13">H16-H17</f>
        <v>365.99599999999998</v>
      </c>
      <c r="I18" s="3">
        <f t="shared" si="13"/>
        <v>371.49499999999995</v>
      </c>
      <c r="J18" s="3">
        <f t="shared" si="13"/>
        <v>343.60600000000028</v>
      </c>
      <c r="K18" s="3">
        <f t="shared" si="13"/>
        <v>354.0609999999989</v>
      </c>
      <c r="L18" s="3">
        <f t="shared" si="13"/>
        <v>275.32500000000016</v>
      </c>
      <c r="M18" s="3">
        <f t="shared" si="13"/>
        <v>237.791</v>
      </c>
      <c r="N18" s="3">
        <f t="shared" si="13"/>
        <v>200.04100000000068</v>
      </c>
      <c r="O18" s="3">
        <f t="shared" si="13"/>
        <v>196.20600000000019</v>
      </c>
      <c r="P18" s="3">
        <f t="shared" si="13"/>
        <v>83.098000000000027</v>
      </c>
      <c r="U18" s="3">
        <f>U16-U17</f>
        <v>-200.16799999999873</v>
      </c>
      <c r="V18" s="3">
        <f>V16-V17</f>
        <v>586.46400000000096</v>
      </c>
      <c r="W18" s="3">
        <f>W16-W17</f>
        <v>1110.4679999999978</v>
      </c>
      <c r="X18" s="3">
        <f t="shared" si="11"/>
        <v>1435.157999999999</v>
      </c>
      <c r="Y18" s="3">
        <f t="shared" si="12"/>
        <v>909.36300000000097</v>
      </c>
    </row>
    <row r="19" spans="1:25" s="3" customFormat="1" x14ac:dyDescent="0.3">
      <c r="A19" s="6" t="s">
        <v>73</v>
      </c>
      <c r="H19" s="3">
        <v>1.2470000000000001</v>
      </c>
      <c r="I19" s="3">
        <v>1.161</v>
      </c>
      <c r="J19" s="3">
        <v>1.2070000000000001</v>
      </c>
      <c r="K19" s="3">
        <v>4.6589999999999998</v>
      </c>
      <c r="L19" s="3">
        <v>1.575</v>
      </c>
      <c r="M19" s="3">
        <v>1.232</v>
      </c>
      <c r="N19" s="3">
        <v>1.3819999999999999</v>
      </c>
      <c r="O19" s="3">
        <v>1.669</v>
      </c>
      <c r="P19" s="3">
        <v>-0.503</v>
      </c>
      <c r="U19" s="3">
        <v>3.919</v>
      </c>
      <c r="V19" s="3">
        <v>2.0259999999999998</v>
      </c>
      <c r="W19" s="3">
        <v>2.2709999999999999</v>
      </c>
      <c r="X19" s="3">
        <f t="shared" si="11"/>
        <v>8.2740000000000009</v>
      </c>
      <c r="Y19" s="3">
        <f t="shared" si="12"/>
        <v>5.8580000000000005</v>
      </c>
    </row>
    <row r="20" spans="1:25" s="33" customFormat="1" x14ac:dyDescent="0.3">
      <c r="A20" s="32" t="s">
        <v>74</v>
      </c>
      <c r="H20" s="31">
        <f t="shared" ref="H20:P20" si="14">H18-H19</f>
        <v>364.74899999999997</v>
      </c>
      <c r="I20" s="31">
        <f t="shared" si="14"/>
        <v>370.33399999999995</v>
      </c>
      <c r="J20" s="31">
        <f t="shared" si="14"/>
        <v>342.39900000000029</v>
      </c>
      <c r="K20" s="31">
        <f t="shared" si="14"/>
        <v>349.40199999999891</v>
      </c>
      <c r="L20" s="31">
        <f t="shared" si="14"/>
        <v>273.75000000000017</v>
      </c>
      <c r="M20" s="31">
        <f t="shared" si="14"/>
        <v>236.559</v>
      </c>
      <c r="N20" s="31">
        <f t="shared" si="14"/>
        <v>198.65900000000067</v>
      </c>
      <c r="O20" s="31">
        <f t="shared" si="14"/>
        <v>194.53700000000018</v>
      </c>
      <c r="P20" s="31">
        <f t="shared" si="14"/>
        <v>83.601000000000028</v>
      </c>
      <c r="U20" s="31">
        <f t="shared" ref="U20:V20" si="15">U18-U19</f>
        <v>-204.08699999999874</v>
      </c>
      <c r="V20" s="31">
        <f t="shared" si="15"/>
        <v>584.43800000000101</v>
      </c>
      <c r="W20" s="31">
        <f>W18-W19</f>
        <v>1108.1969999999978</v>
      </c>
      <c r="X20" s="31">
        <f>SUM(H20:K20)</f>
        <v>1426.8839999999991</v>
      </c>
      <c r="Y20" s="31">
        <f>SUM(L20:O20)</f>
        <v>903.50500000000102</v>
      </c>
    </row>
    <row r="21" spans="1:25" s="3" customFormat="1" x14ac:dyDescent="0.3">
      <c r="A21" s="6" t="s">
        <v>75</v>
      </c>
      <c r="H21" s="34">
        <f t="shared" ref="H21:P21" si="16">H20/H22</f>
        <v>5.3055171711588534</v>
      </c>
      <c r="I21" s="34">
        <f t="shared" si="16"/>
        <v>5.5396927495475001</v>
      </c>
      <c r="J21" s="34">
        <f t="shared" si="16"/>
        <v>5.2693793379399541</v>
      </c>
      <c r="K21" s="34">
        <f t="shared" si="16"/>
        <v>5.6593401253664446</v>
      </c>
      <c r="L21" s="34">
        <f t="shared" si="16"/>
        <v>4.6024647354528518</v>
      </c>
      <c r="M21" s="34">
        <f t="shared" si="16"/>
        <v>4.1244704036265363</v>
      </c>
      <c r="N21" s="34">
        <f t="shared" si="16"/>
        <v>3.5287043944722845</v>
      </c>
      <c r="O21" s="34">
        <f t="shared" si="16"/>
        <v>3.5360719803689933</v>
      </c>
      <c r="P21" s="34">
        <f t="shared" si="16"/>
        <v>1.5251482258505888</v>
      </c>
      <c r="U21" s="34">
        <f t="shared" ref="U21:V21" si="17">U20/U22</f>
        <v>-2.4421668581274978</v>
      </c>
      <c r="V21" s="34">
        <f t="shared" si="17"/>
        <v>7.4322884211865068</v>
      </c>
      <c r="W21" s="34">
        <f>W20/W22</f>
        <v>15.101137834707334</v>
      </c>
      <c r="X21" s="34">
        <f>X20/X22</f>
        <v>21.800131391991187</v>
      </c>
      <c r="Y21" s="34">
        <f>Y20/Y22</f>
        <v>15.841237836416255</v>
      </c>
    </row>
    <row r="22" spans="1:25" s="3" customFormat="1" x14ac:dyDescent="0.3">
      <c r="A22" s="6" t="s">
        <v>1</v>
      </c>
      <c r="H22" s="3">
        <v>68.748999999999995</v>
      </c>
      <c r="I22" s="3">
        <v>66.850999999999999</v>
      </c>
      <c r="J22" s="3">
        <v>64.978999999999999</v>
      </c>
      <c r="K22" s="3">
        <v>61.738999999999997</v>
      </c>
      <c r="L22" s="3">
        <v>59.478999999999999</v>
      </c>
      <c r="M22" s="3">
        <v>57.354999999999997</v>
      </c>
      <c r="N22" s="3">
        <v>56.298000000000002</v>
      </c>
      <c r="O22" s="3">
        <v>55.015000000000001</v>
      </c>
      <c r="P22" s="3">
        <v>54.814999999999998</v>
      </c>
      <c r="U22" s="3">
        <v>83.567999999999998</v>
      </c>
      <c r="V22" s="3">
        <v>78.635000000000005</v>
      </c>
      <c r="W22" s="3">
        <v>73.385000000000005</v>
      </c>
      <c r="X22" s="3">
        <v>65.453000000000003</v>
      </c>
      <c r="Y22" s="3">
        <v>57.034999999999997</v>
      </c>
    </row>
    <row r="23" spans="1:25" s="3" customFormat="1" x14ac:dyDescent="0.3">
      <c r="A23" s="6"/>
    </row>
    <row r="24" spans="1:25" s="49" customFormat="1" x14ac:dyDescent="0.3">
      <c r="A24" s="48" t="s">
        <v>107</v>
      </c>
      <c r="H24" s="55"/>
      <c r="I24" s="55"/>
      <c r="J24" s="55"/>
      <c r="K24" s="55"/>
      <c r="L24" s="55">
        <f>L3/H3-1</f>
        <v>-3.7215378893281748E-2</v>
      </c>
      <c r="M24" s="55">
        <f>M3/I3-1</f>
        <v>-0.10002555797887769</v>
      </c>
      <c r="N24" s="55">
        <f>N3/J3-1</f>
        <v>-0.1359113194808963</v>
      </c>
      <c r="O24" s="55">
        <f>O3/K3-1</f>
        <v>-0.15808885165251652</v>
      </c>
      <c r="P24" s="55">
        <f>P3/L3-1</f>
        <v>-0.20742665080053313</v>
      </c>
      <c r="V24" s="55">
        <f t="shared" ref="V24:X24" si="18">V3/U3-1</f>
        <v>-8.4201434547825915E-3</v>
      </c>
      <c r="W24" s="55">
        <f t="shared" si="18"/>
        <v>0.20240580081241233</v>
      </c>
      <c r="X24" s="55">
        <f t="shared" si="18"/>
        <v>7.6787499429330053E-2</v>
      </c>
      <c r="Y24" s="55">
        <f>Y3/X3-1</f>
        <v>-0.10821183963483649</v>
      </c>
    </row>
    <row r="25" spans="1:25" s="51" customFormat="1" x14ac:dyDescent="0.3">
      <c r="A25" s="50" t="s">
        <v>108</v>
      </c>
      <c r="H25" s="56"/>
      <c r="I25" s="56">
        <f t="shared" ref="I25:P25" si="19">I3/H3-1</f>
        <v>4.2617552656592395E-2</v>
      </c>
      <c r="J25" s="56">
        <f t="shared" si="19"/>
        <v>-2.0548910974308665E-2</v>
      </c>
      <c r="K25" s="56">
        <f t="shared" si="19"/>
        <v>6.1070971005883212E-3</v>
      </c>
      <c r="L25" s="56">
        <f t="shared" si="19"/>
        <v>-6.2918969523082735E-2</v>
      </c>
      <c r="M25" s="56">
        <f t="shared" si="19"/>
        <v>-2.5400770200361134E-2</v>
      </c>
      <c r="N25" s="56">
        <f t="shared" si="19"/>
        <v>-5.9603740247830772E-2</v>
      </c>
      <c r="O25" s="56">
        <f t="shared" si="19"/>
        <v>-1.9715452155165347E-2</v>
      </c>
      <c r="P25" s="56">
        <f t="shared" si="19"/>
        <v>-0.11783392789824432</v>
      </c>
      <c r="X25" s="51" t="s">
        <v>109</v>
      </c>
    </row>
    <row r="26" spans="1:25" s="3" customFormat="1" x14ac:dyDescent="0.3">
      <c r="A26" s="6"/>
    </row>
    <row r="27" spans="1:25" s="49" customFormat="1" x14ac:dyDescent="0.3">
      <c r="A27" s="48" t="s">
        <v>103</v>
      </c>
      <c r="H27" s="55">
        <f t="shared" ref="H27:P27" si="20">H5/H3</f>
        <v>0.13307112256002643</v>
      </c>
      <c r="I27" s="55">
        <f t="shared" si="20"/>
        <v>0.1306663825481918</v>
      </c>
      <c r="J27" s="55">
        <f t="shared" si="20"/>
        <v>0.12808727242589166</v>
      </c>
      <c r="K27" s="55">
        <f t="shared" si="20"/>
        <v>0.12935664751658332</v>
      </c>
      <c r="L27" s="55">
        <f t="shared" si="20"/>
        <v>0.12749169340146799</v>
      </c>
      <c r="M27" s="55">
        <f t="shared" si="20"/>
        <v>0.12520371093318752</v>
      </c>
      <c r="N27" s="55">
        <f t="shared" si="20"/>
        <v>0.12234228493775282</v>
      </c>
      <c r="O27" s="55">
        <f t="shared" si="20"/>
        <v>0.12607086340609575</v>
      </c>
      <c r="P27" s="55">
        <f t="shared" si="20"/>
        <v>0.12388702908325222</v>
      </c>
      <c r="U27" s="55">
        <f>U5/U3</f>
        <v>0.11406433765064362</v>
      </c>
      <c r="V27" s="55">
        <f>V5/V3</f>
        <v>0.11129249122260269</v>
      </c>
      <c r="W27" s="55">
        <f>W5/W3</f>
        <v>0.12188887681643459</v>
      </c>
      <c r="X27" s="55">
        <f>X5/X3</f>
        <v>0.13028148963504399</v>
      </c>
      <c r="Y27" s="55">
        <f>Y5/Y3</f>
        <v>0.12532101856035804</v>
      </c>
    </row>
    <row r="28" spans="1:25" s="45" customFormat="1" x14ac:dyDescent="0.3">
      <c r="A28" s="52" t="s">
        <v>104</v>
      </c>
      <c r="H28" s="57">
        <f t="shared" ref="H28:P28" si="21">H10/H3</f>
        <v>5.6245202705495018E-2</v>
      </c>
      <c r="I28" s="57">
        <f t="shared" si="21"/>
        <v>5.6319300121490237E-2</v>
      </c>
      <c r="J28" s="57">
        <f t="shared" si="21"/>
        <v>5.4248927742630633E-2</v>
      </c>
      <c r="K28" s="57">
        <f t="shared" si="21"/>
        <v>5.6054350611384196E-2</v>
      </c>
      <c r="L28" s="57">
        <f t="shared" si="21"/>
        <v>4.8320892703516832E-2</v>
      </c>
      <c r="M28" s="57">
        <f t="shared" si="21"/>
        <v>4.6068384861805416E-2</v>
      </c>
      <c r="N28" s="57">
        <f t="shared" si="21"/>
        <v>4.2473110154977858E-2</v>
      </c>
      <c r="O28" s="57">
        <f t="shared" si="21"/>
        <v>4.0345606540931743E-2</v>
      </c>
      <c r="P28" s="57">
        <f t="shared" si="21"/>
        <v>2.6850089395834359E-2</v>
      </c>
      <c r="U28" s="57">
        <f>U10/U3</f>
        <v>3.7243341225964666E-3</v>
      </c>
      <c r="V28" s="57">
        <f>V10/V3</f>
        <v>3.1196584788467291E-2</v>
      </c>
      <c r="W28" s="57">
        <f>W10/W3</f>
        <v>4.5155355373251771E-2</v>
      </c>
      <c r="X28" s="57">
        <f>X10/X3</f>
        <v>5.5717877573959233E-2</v>
      </c>
      <c r="Y28" s="57">
        <f>Y10/Y3</f>
        <v>4.443648375334372E-2</v>
      </c>
    </row>
    <row r="29" spans="1:25" s="45" customFormat="1" x14ac:dyDescent="0.3">
      <c r="A29" s="52" t="s">
        <v>105</v>
      </c>
      <c r="H29" s="57">
        <f t="shared" ref="H29:P29" si="22">H20/H3</f>
        <v>4.0196602978248591E-2</v>
      </c>
      <c r="I29" s="57">
        <f t="shared" si="22"/>
        <v>3.9143873240880665E-2</v>
      </c>
      <c r="J29" s="57">
        <f t="shared" si="22"/>
        <v>3.695046809818496E-2</v>
      </c>
      <c r="K29" s="57">
        <f t="shared" si="22"/>
        <v>3.7477328973660039E-2</v>
      </c>
      <c r="L29" s="57">
        <f t="shared" si="22"/>
        <v>3.1334316496398777E-2</v>
      </c>
      <c r="M29" s="57">
        <f t="shared" si="22"/>
        <v>2.7783023720902047E-2</v>
      </c>
      <c r="N29" s="57">
        <f t="shared" si="22"/>
        <v>2.4810606793864317E-2</v>
      </c>
      <c r="O29" s="57">
        <f t="shared" si="22"/>
        <v>2.4784445004731103E-2</v>
      </c>
      <c r="P29" s="57">
        <f t="shared" si="22"/>
        <v>1.207363674963101E-2</v>
      </c>
      <c r="U29" s="57">
        <f>U20/U3</f>
        <v>-7.0577196746242328E-3</v>
      </c>
      <c r="V29" s="57">
        <f>V20/V3</f>
        <v>2.0382610857331278E-2</v>
      </c>
      <c r="W29" s="57">
        <f>W20/W3</f>
        <v>3.214306411302735E-2</v>
      </c>
      <c r="X29" s="57">
        <f>X20/X3</f>
        <v>3.8435184256875414E-2</v>
      </c>
      <c r="Y29" s="57">
        <f>Y20/Y3</f>
        <v>2.7290353253318349E-2</v>
      </c>
    </row>
    <row r="30" spans="1:25" s="54" customFormat="1" x14ac:dyDescent="0.3">
      <c r="A30" s="53" t="s">
        <v>106</v>
      </c>
      <c r="H30" s="56">
        <f t="shared" ref="H30:O30" si="23">H17/H16</f>
        <v>0.23488782413098194</v>
      </c>
      <c r="I30" s="56">
        <f t="shared" si="23"/>
        <v>0.23546226857759084</v>
      </c>
      <c r="J30" s="56">
        <f t="shared" si="23"/>
        <v>0.23491113456511367</v>
      </c>
      <c r="K30" s="56">
        <f t="shared" si="23"/>
        <v>0.2479268448107402</v>
      </c>
      <c r="L30" s="56">
        <f t="shared" si="23"/>
        <v>0.21754217442706428</v>
      </c>
      <c r="M30" s="56">
        <f t="shared" si="23"/>
        <v>0.23335514925637793</v>
      </c>
      <c r="N30" s="56">
        <f t="shared" si="23"/>
        <v>0.20707383007903798</v>
      </c>
      <c r="O30" s="56">
        <f t="shared" si="23"/>
        <v>0.21526702902463299</v>
      </c>
      <c r="P30" s="56">
        <f>P17/P16</f>
        <v>0.20959917819164109</v>
      </c>
      <c r="U30" s="56">
        <f>U17/U16</f>
        <v>-0.78993114548869703</v>
      </c>
      <c r="V30" s="56">
        <f>V17/V16</f>
        <v>0.22758373624810477</v>
      </c>
      <c r="W30" s="56">
        <f>W17/W16</f>
        <v>0.22689494518837053</v>
      </c>
      <c r="X30" s="56">
        <f>X17/X16</f>
        <v>0.23829949844757597</v>
      </c>
      <c r="Y30" s="56">
        <f>Y17/Y16</f>
        <v>0.2189978305566862</v>
      </c>
    </row>
    <row r="33" spans="1:25" s="44" customFormat="1" x14ac:dyDescent="0.3">
      <c r="A33" s="43" t="s">
        <v>102</v>
      </c>
      <c r="H33" s="47">
        <f t="shared" ref="H33:O33" si="24">H34-H35</f>
        <v>0</v>
      </c>
      <c r="I33" s="47">
        <f t="shared" si="24"/>
        <v>0</v>
      </c>
      <c r="J33" s="47">
        <f t="shared" si="24"/>
        <v>0</v>
      </c>
      <c r="K33" s="47">
        <f t="shared" si="24"/>
        <v>-3595.9319999999998</v>
      </c>
      <c r="L33" s="47">
        <f t="shared" si="24"/>
        <v>-3657.7660000000001</v>
      </c>
      <c r="M33" s="47">
        <f t="shared" si="24"/>
        <v>-3920.614</v>
      </c>
      <c r="N33" s="47">
        <f t="shared" si="24"/>
        <v>-3870.3690000000006</v>
      </c>
      <c r="O33" s="47">
        <f t="shared" si="24"/>
        <v>-3589.4539999999997</v>
      </c>
      <c r="P33" s="47">
        <f>P34-P35</f>
        <v>-3335.1379999999999</v>
      </c>
      <c r="Q33" s="47">
        <f t="shared" ref="Q33:S33" si="25">Q34-Q35</f>
        <v>0</v>
      </c>
      <c r="R33" s="47">
        <f t="shared" si="25"/>
        <v>0</v>
      </c>
      <c r="S33" s="47">
        <f t="shared" si="25"/>
        <v>0</v>
      </c>
      <c r="V33" s="47">
        <f t="shared" ref="V33:Y33" si="26">V34-V35</f>
        <v>0</v>
      </c>
      <c r="W33" s="47">
        <f t="shared" si="26"/>
        <v>0</v>
      </c>
      <c r="X33" s="47">
        <f t="shared" si="26"/>
        <v>-3595.9319999999998</v>
      </c>
      <c r="Y33" s="47">
        <f t="shared" si="26"/>
        <v>-3589.4539999999997</v>
      </c>
    </row>
    <row r="34" spans="1:25" s="40" customFormat="1" x14ac:dyDescent="0.3">
      <c r="A34" s="39" t="s">
        <v>3</v>
      </c>
      <c r="H34" s="45">
        <f t="shared" ref="H34:O34" si="27">H36</f>
        <v>0</v>
      </c>
      <c r="I34" s="45">
        <f t="shared" si="27"/>
        <v>0</v>
      </c>
      <c r="J34" s="45">
        <f t="shared" si="27"/>
        <v>0</v>
      </c>
      <c r="K34" s="45">
        <f t="shared" si="27"/>
        <v>176.91499999999999</v>
      </c>
      <c r="L34" s="45">
        <f t="shared" si="27"/>
        <v>205.554</v>
      </c>
      <c r="M34" s="45">
        <f t="shared" si="27"/>
        <v>240.38200000000001</v>
      </c>
      <c r="N34" s="45">
        <f t="shared" si="27"/>
        <v>333.29399999999998</v>
      </c>
      <c r="O34" s="45">
        <f t="shared" si="27"/>
        <v>218.053</v>
      </c>
      <c r="P34" s="45">
        <f>P36</f>
        <v>242.81</v>
      </c>
      <c r="Q34" s="45">
        <f t="shared" ref="Q34:S34" si="28">Q36</f>
        <v>0</v>
      </c>
      <c r="R34" s="45">
        <f t="shared" si="28"/>
        <v>0</v>
      </c>
      <c r="S34" s="45">
        <f t="shared" si="28"/>
        <v>0</v>
      </c>
      <c r="V34" s="45">
        <f t="shared" ref="V34:Y34" si="29">V36</f>
        <v>0</v>
      </c>
      <c r="W34" s="45">
        <f t="shared" si="29"/>
        <v>0</v>
      </c>
      <c r="X34" s="45">
        <f t="shared" si="29"/>
        <v>176.91499999999999</v>
      </c>
      <c r="Y34" s="45">
        <f t="shared" si="29"/>
        <v>218.053</v>
      </c>
    </row>
    <row r="35" spans="1:25" s="42" customFormat="1" ht="15" thickBot="1" x14ac:dyDescent="0.35">
      <c r="A35" s="41" t="s">
        <v>4</v>
      </c>
      <c r="H35" s="46">
        <f t="shared" ref="H35:O35" si="30">H55+H53</f>
        <v>0</v>
      </c>
      <c r="I35" s="46">
        <f t="shared" si="30"/>
        <v>0</v>
      </c>
      <c r="J35" s="46">
        <f t="shared" si="30"/>
        <v>0</v>
      </c>
      <c r="K35" s="46">
        <f t="shared" si="30"/>
        <v>3772.8469999999998</v>
      </c>
      <c r="L35" s="46">
        <f t="shared" si="30"/>
        <v>3863.32</v>
      </c>
      <c r="M35" s="46">
        <f t="shared" si="30"/>
        <v>4160.9960000000001</v>
      </c>
      <c r="N35" s="46">
        <f t="shared" si="30"/>
        <v>4203.6630000000005</v>
      </c>
      <c r="O35" s="46">
        <f t="shared" si="30"/>
        <v>3807.5069999999996</v>
      </c>
      <c r="P35" s="46">
        <f>P55+P53</f>
        <v>3577.9479999999999</v>
      </c>
      <c r="Q35" s="46">
        <f t="shared" ref="Q35:S35" si="31">Q55+Q53</f>
        <v>0</v>
      </c>
      <c r="R35" s="46">
        <f t="shared" si="31"/>
        <v>0</v>
      </c>
      <c r="S35" s="46">
        <f t="shared" si="31"/>
        <v>0</v>
      </c>
      <c r="V35" s="46">
        <f t="shared" ref="V35:Y35" si="32">V55+V53</f>
        <v>0</v>
      </c>
      <c r="W35" s="46">
        <f t="shared" si="32"/>
        <v>0</v>
      </c>
      <c r="X35" s="46">
        <f t="shared" si="32"/>
        <v>3772.8469999999998</v>
      </c>
      <c r="Y35" s="46">
        <f t="shared" si="32"/>
        <v>3807.5069999999996</v>
      </c>
    </row>
    <row r="36" spans="1:25" s="3" customFormat="1" x14ac:dyDescent="0.3">
      <c r="A36" s="6" t="s">
        <v>77</v>
      </c>
      <c r="K36" s="3">
        <v>176.91499999999999</v>
      </c>
      <c r="L36" s="3">
        <v>205.554</v>
      </c>
      <c r="M36" s="3">
        <v>240.38200000000001</v>
      </c>
      <c r="N36" s="3">
        <v>333.29399999999998</v>
      </c>
      <c r="O36" s="3">
        <v>218.053</v>
      </c>
      <c r="P36" s="3">
        <v>242.81</v>
      </c>
      <c r="X36" s="3">
        <v>176.91499999999999</v>
      </c>
      <c r="Y36" s="3">
        <v>218.053</v>
      </c>
    </row>
    <row r="37" spans="1:25" s="3" customFormat="1" x14ac:dyDescent="0.3">
      <c r="A37" s="6" t="s">
        <v>78</v>
      </c>
      <c r="K37" s="3">
        <v>12322.717000000001</v>
      </c>
      <c r="L37" s="3">
        <v>10655.862999999999</v>
      </c>
      <c r="M37" s="3">
        <v>11035.897999999999</v>
      </c>
      <c r="N37" s="3">
        <v>10663.164000000001</v>
      </c>
      <c r="O37" s="3">
        <v>12238.073</v>
      </c>
      <c r="P37" s="3">
        <v>11062.608</v>
      </c>
      <c r="X37" s="3">
        <v>12322.717000000001</v>
      </c>
      <c r="Y37" s="3">
        <v>12238.073</v>
      </c>
    </row>
    <row r="38" spans="1:25" s="3" customFormat="1" x14ac:dyDescent="0.3">
      <c r="A38" s="6" t="s">
        <v>79</v>
      </c>
      <c r="K38" s="3">
        <v>5319.3689999999997</v>
      </c>
      <c r="L38" s="3">
        <v>5525.7820000000002</v>
      </c>
      <c r="M38" s="3">
        <v>5452.1980000000003</v>
      </c>
      <c r="N38" s="3">
        <v>5805.52</v>
      </c>
      <c r="O38" s="3">
        <v>5187.2250000000004</v>
      </c>
      <c r="P38" s="3">
        <v>4797.0529999999999</v>
      </c>
      <c r="X38" s="3">
        <v>5319.3689999999997</v>
      </c>
      <c r="Y38" s="3">
        <v>5187.2250000000004</v>
      </c>
    </row>
    <row r="39" spans="1:25" s="3" customFormat="1" x14ac:dyDescent="0.3">
      <c r="A39" s="6" t="s">
        <v>80</v>
      </c>
      <c r="K39" s="3">
        <v>521.33900000000006</v>
      </c>
      <c r="L39" s="3">
        <v>479.65</v>
      </c>
      <c r="M39" s="3">
        <v>402.72899999999998</v>
      </c>
      <c r="N39" s="3">
        <v>503.98200000000003</v>
      </c>
      <c r="O39" s="3">
        <v>684.12599999999998</v>
      </c>
      <c r="P39" s="3">
        <v>798.59100000000001</v>
      </c>
      <c r="X39" s="3">
        <v>521.33900000000006</v>
      </c>
      <c r="Y39" s="3">
        <v>684.12599999999998</v>
      </c>
    </row>
    <row r="40" spans="1:25" s="31" customFormat="1" x14ac:dyDescent="0.3">
      <c r="A40" s="30" t="s">
        <v>81</v>
      </c>
      <c r="H40" s="31">
        <f t="shared" ref="H40:S40" si="33">SUM(H36:H39)</f>
        <v>0</v>
      </c>
      <c r="I40" s="31">
        <f t="shared" si="33"/>
        <v>0</v>
      </c>
      <c r="J40" s="31">
        <f t="shared" si="33"/>
        <v>0</v>
      </c>
      <c r="K40" s="31">
        <f t="shared" si="33"/>
        <v>18340.34</v>
      </c>
      <c r="L40" s="31">
        <f t="shared" si="33"/>
        <v>16866.849000000002</v>
      </c>
      <c r="M40" s="31">
        <f t="shared" si="33"/>
        <v>17131.206999999999</v>
      </c>
      <c r="N40" s="31">
        <f t="shared" si="33"/>
        <v>17305.960000000003</v>
      </c>
      <c r="O40" s="31">
        <f t="shared" si="33"/>
        <v>18327.477000000003</v>
      </c>
      <c r="P40" s="31">
        <f>SUM(P36:P39)</f>
        <v>16901.061999999998</v>
      </c>
      <c r="Q40" s="31">
        <f t="shared" si="33"/>
        <v>0</v>
      </c>
      <c r="R40" s="31">
        <f t="shared" si="33"/>
        <v>0</v>
      </c>
      <c r="S40" s="31">
        <f t="shared" si="33"/>
        <v>0</v>
      </c>
      <c r="V40" s="31">
        <f t="shared" ref="V40" si="34">SUM(V36:V39)</f>
        <v>0</v>
      </c>
      <c r="W40" s="31">
        <f t="shared" ref="W40:X40" si="35">SUM(W36:W39)</f>
        <v>0</v>
      </c>
      <c r="X40" s="31">
        <f t="shared" si="35"/>
        <v>18340.34</v>
      </c>
      <c r="Y40" s="31">
        <f t="shared" ref="Y40" si="36">SUM(Y36:Y39)</f>
        <v>18327.477000000003</v>
      </c>
    </row>
    <row r="41" spans="1:25" s="3" customFormat="1" x14ac:dyDescent="0.3">
      <c r="A41" s="35" t="s">
        <v>83</v>
      </c>
      <c r="K41" s="3">
        <v>5.6909999999999998</v>
      </c>
      <c r="L41" s="3">
        <v>5.6909999999999998</v>
      </c>
      <c r="M41" s="3">
        <v>5.6909999999999998</v>
      </c>
      <c r="N41" s="3">
        <v>5.6909999999999998</v>
      </c>
      <c r="O41" s="3">
        <v>5.6909999999999998</v>
      </c>
      <c r="P41" s="3">
        <v>5.6909999999999998</v>
      </c>
      <c r="X41" s="3">
        <v>5.6909999999999998</v>
      </c>
      <c r="Y41" s="3">
        <v>5.6909999999999998</v>
      </c>
    </row>
    <row r="42" spans="1:25" s="3" customFormat="1" x14ac:dyDescent="0.3">
      <c r="A42" s="35" t="s">
        <v>84</v>
      </c>
      <c r="K42" s="3">
        <v>184.21100000000001</v>
      </c>
      <c r="L42" s="3">
        <v>185.79</v>
      </c>
      <c r="M42" s="3">
        <v>186.648</v>
      </c>
      <c r="N42" s="3">
        <v>185.79</v>
      </c>
      <c r="O42" s="3">
        <v>195.57900000000001</v>
      </c>
      <c r="P42" s="3">
        <v>196.291</v>
      </c>
      <c r="X42" s="3">
        <v>184.21100000000001</v>
      </c>
      <c r="Y42" s="3">
        <v>195.57900000000001</v>
      </c>
    </row>
    <row r="43" spans="1:25" s="3" customFormat="1" x14ac:dyDescent="0.3">
      <c r="A43" s="35" t="s">
        <v>85</v>
      </c>
      <c r="K43" s="3">
        <v>1583.6610000000001</v>
      </c>
      <c r="L43" s="3">
        <v>1602.0730000000001</v>
      </c>
      <c r="M43" s="3">
        <v>1612.0050000000001</v>
      </c>
      <c r="N43" s="3">
        <v>1616.9369999999999</v>
      </c>
      <c r="O43" s="3">
        <v>1632.606</v>
      </c>
      <c r="P43" s="3">
        <v>1624.4090000000001</v>
      </c>
      <c r="X43" s="3">
        <v>1583.6610000000001</v>
      </c>
      <c r="Y43" s="3">
        <v>1632.606</v>
      </c>
    </row>
    <row r="44" spans="1:25" s="31" customFormat="1" x14ac:dyDescent="0.3">
      <c r="A44" s="36" t="s">
        <v>87</v>
      </c>
      <c r="H44" s="31">
        <f t="shared" ref="H44:S44" si="37">SUM(H41:H43)</f>
        <v>0</v>
      </c>
      <c r="I44" s="31">
        <f t="shared" si="37"/>
        <v>0</v>
      </c>
      <c r="J44" s="31">
        <f t="shared" si="37"/>
        <v>0</v>
      </c>
      <c r="K44" s="31">
        <f t="shared" si="37"/>
        <v>1773.5630000000001</v>
      </c>
      <c r="L44" s="31">
        <f t="shared" si="37"/>
        <v>1793.5540000000001</v>
      </c>
      <c r="M44" s="31">
        <f t="shared" si="37"/>
        <v>1804.3440000000001</v>
      </c>
      <c r="N44" s="31">
        <f t="shared" si="37"/>
        <v>1808.4179999999999</v>
      </c>
      <c r="O44" s="31">
        <f t="shared" si="37"/>
        <v>1833.876</v>
      </c>
      <c r="P44" s="31">
        <f>SUM(P41:P43)</f>
        <v>1826.3910000000001</v>
      </c>
      <c r="Q44" s="31">
        <f t="shared" si="37"/>
        <v>0</v>
      </c>
      <c r="R44" s="31">
        <f t="shared" si="37"/>
        <v>0</v>
      </c>
      <c r="S44" s="31">
        <f t="shared" si="37"/>
        <v>0</v>
      </c>
      <c r="V44" s="31">
        <f t="shared" ref="V44" si="38">SUM(V41:V43)</f>
        <v>0</v>
      </c>
      <c r="W44" s="31">
        <f t="shared" ref="W44:X44" si="39">SUM(W41:W43)</f>
        <v>0</v>
      </c>
      <c r="X44" s="31">
        <f t="shared" si="39"/>
        <v>1773.5630000000001</v>
      </c>
      <c r="Y44" s="31">
        <f t="shared" ref="Y44" si="40">SUM(Y41:Y43)</f>
        <v>1833.876</v>
      </c>
    </row>
    <row r="45" spans="1:25" s="3" customFormat="1" x14ac:dyDescent="0.3">
      <c r="A45" s="35" t="s">
        <v>86</v>
      </c>
      <c r="K45" s="3">
        <v>1177.107</v>
      </c>
      <c r="L45" s="3">
        <v>1214.1030000000001</v>
      </c>
      <c r="M45" s="3">
        <v>1246.125</v>
      </c>
      <c r="N45" s="3">
        <v>1272.2139999999999</v>
      </c>
      <c r="O45" s="3">
        <v>1303.136</v>
      </c>
      <c r="P45" s="3">
        <v>1309.3030000000001</v>
      </c>
      <c r="X45" s="3">
        <v>1177.107</v>
      </c>
      <c r="Y45" s="3">
        <v>1303.136</v>
      </c>
    </row>
    <row r="46" spans="1:25" s="38" customFormat="1" ht="15" thickBot="1" x14ac:dyDescent="0.35">
      <c r="A46" s="37" t="s">
        <v>82</v>
      </c>
      <c r="H46" s="38">
        <f t="shared" ref="H46:I46" si="41">H44+H45</f>
        <v>0</v>
      </c>
      <c r="I46" s="38">
        <f t="shared" si="41"/>
        <v>0</v>
      </c>
      <c r="J46" s="38">
        <f t="shared" ref="J46" si="42">J44-J45</f>
        <v>0</v>
      </c>
      <c r="K46" s="38">
        <f>K44-K45</f>
        <v>596.45600000000013</v>
      </c>
      <c r="L46" s="38">
        <f t="shared" ref="L46:S46" si="43">L44-L45</f>
        <v>579.45100000000002</v>
      </c>
      <c r="M46" s="38">
        <f t="shared" si="43"/>
        <v>558.21900000000005</v>
      </c>
      <c r="N46" s="38">
        <f t="shared" si="43"/>
        <v>536.20399999999995</v>
      </c>
      <c r="O46" s="38">
        <f t="shared" si="43"/>
        <v>530.74</v>
      </c>
      <c r="P46" s="38">
        <f t="shared" si="43"/>
        <v>517.08799999999997</v>
      </c>
      <c r="Q46" s="38">
        <f t="shared" si="43"/>
        <v>0</v>
      </c>
      <c r="R46" s="38">
        <f t="shared" si="43"/>
        <v>0</v>
      </c>
      <c r="S46" s="38">
        <f t="shared" si="43"/>
        <v>0</v>
      </c>
      <c r="V46" s="38">
        <f t="shared" ref="V46:Y46" si="44">V44-V45</f>
        <v>0</v>
      </c>
      <c r="W46" s="38">
        <f t="shared" si="44"/>
        <v>0</v>
      </c>
      <c r="X46" s="38">
        <f>X44-X45</f>
        <v>596.45600000000013</v>
      </c>
      <c r="Y46" s="38">
        <f t="shared" si="44"/>
        <v>530.74</v>
      </c>
    </row>
    <row r="47" spans="1:25" s="3" customFormat="1" x14ac:dyDescent="0.3">
      <c r="A47" s="6" t="s">
        <v>88</v>
      </c>
      <c r="K47" s="3">
        <v>65.111999999999995</v>
      </c>
      <c r="L47" s="3">
        <v>59.682000000000002</v>
      </c>
      <c r="M47" s="3">
        <v>62.137999999999998</v>
      </c>
      <c r="N47" s="3">
        <v>63.048999999999999</v>
      </c>
      <c r="O47" s="3">
        <v>62.741</v>
      </c>
      <c r="P47" s="3">
        <v>58.868000000000002</v>
      </c>
      <c r="X47" s="3">
        <v>65.111999999999995</v>
      </c>
      <c r="Y47" s="3">
        <v>62.741</v>
      </c>
    </row>
    <row r="48" spans="1:25" s="3" customFormat="1" x14ac:dyDescent="0.3">
      <c r="A48" s="6" t="s">
        <v>89</v>
      </c>
      <c r="K48" s="3">
        <f>159.137+2027.626</f>
        <v>2186.7629999999999</v>
      </c>
      <c r="L48" s="3">
        <f>151.221+2036.077</f>
        <v>2187.2979999999998</v>
      </c>
      <c r="M48" s="3">
        <f>2044.214+142.917</f>
        <v>2187.1309999999999</v>
      </c>
      <c r="N48" s="3">
        <f>134.811+2021.987</f>
        <v>2156.7980000000002</v>
      </c>
      <c r="O48" s="3">
        <f>127.44+2050.426</f>
        <v>2177.866</v>
      </c>
      <c r="P48" s="3">
        <f>119.274+2054.536</f>
        <v>2173.81</v>
      </c>
      <c r="X48" s="3">
        <f>159.137+2027.626</f>
        <v>2186.7629999999999</v>
      </c>
      <c r="Y48" s="3">
        <f>127.44+2050.426</f>
        <v>2177.866</v>
      </c>
    </row>
    <row r="49" spans="1:25" s="3" customFormat="1" x14ac:dyDescent="0.3">
      <c r="A49" s="6" t="s">
        <v>90</v>
      </c>
      <c r="K49" s="3">
        <v>574.51099999999997</v>
      </c>
      <c r="L49" s="3">
        <v>583.25199999999995</v>
      </c>
      <c r="M49" s="3">
        <v>597.20399999999995</v>
      </c>
      <c r="N49" s="3">
        <v>576.34900000000005</v>
      </c>
      <c r="O49" s="3">
        <v>627.34400000000005</v>
      </c>
      <c r="P49" s="3">
        <v>612.048</v>
      </c>
      <c r="X49" s="3">
        <v>574.51099999999997</v>
      </c>
      <c r="Y49" s="3">
        <v>627.34400000000005</v>
      </c>
    </row>
    <row r="50" spans="1:25" s="31" customFormat="1" x14ac:dyDescent="0.3">
      <c r="A50" s="30" t="s">
        <v>91</v>
      </c>
      <c r="H50" s="31">
        <f t="shared" ref="H50:S50" si="45">SUM(H46:H49)+H40</f>
        <v>0</v>
      </c>
      <c r="I50" s="31">
        <f t="shared" si="45"/>
        <v>0</v>
      </c>
      <c r="J50" s="31">
        <f t="shared" si="45"/>
        <v>0</v>
      </c>
      <c r="K50" s="31">
        <f t="shared" si="45"/>
        <v>21763.182000000001</v>
      </c>
      <c r="L50" s="31">
        <f t="shared" si="45"/>
        <v>20276.532000000003</v>
      </c>
      <c r="M50" s="31">
        <f t="shared" si="45"/>
        <v>20535.898999999998</v>
      </c>
      <c r="N50" s="31">
        <f t="shared" si="45"/>
        <v>20638.360000000004</v>
      </c>
      <c r="O50" s="31">
        <f t="shared" si="45"/>
        <v>21726.168000000001</v>
      </c>
      <c r="P50" s="31">
        <f>SUM(P46:P49)+P40</f>
        <v>20262.875999999997</v>
      </c>
      <c r="Q50" s="31">
        <f t="shared" si="45"/>
        <v>0</v>
      </c>
      <c r="R50" s="31">
        <f t="shared" si="45"/>
        <v>0</v>
      </c>
      <c r="S50" s="31">
        <f t="shared" si="45"/>
        <v>0</v>
      </c>
      <c r="V50" s="31">
        <f t="shared" ref="V50" si="46">SUM(V46:V49)+V40</f>
        <v>0</v>
      </c>
      <c r="W50" s="31">
        <f t="shared" ref="W50:X50" si="47">SUM(W46:W49)+W40</f>
        <v>0</v>
      </c>
      <c r="X50" s="31">
        <f t="shared" si="47"/>
        <v>21763.182000000001</v>
      </c>
      <c r="Y50" s="31">
        <f t="shared" ref="Y50" si="48">SUM(Y46:Y49)+Y40</f>
        <v>21726.168000000001</v>
      </c>
    </row>
    <row r="51" spans="1:25" s="3" customFormat="1" x14ac:dyDescent="0.3">
      <c r="A51" s="6" t="s">
        <v>92</v>
      </c>
      <c r="K51" s="3">
        <v>10460.419</v>
      </c>
      <c r="L51" s="3">
        <v>8976.2960000000003</v>
      </c>
      <c r="M51" s="3">
        <v>8981.2119999999995</v>
      </c>
      <c r="N51" s="3">
        <v>9090.5540000000001</v>
      </c>
      <c r="O51" s="3">
        <v>10070.014999999999</v>
      </c>
      <c r="P51" s="3">
        <v>8940.3130000000001</v>
      </c>
      <c r="X51" s="3">
        <v>10460.419</v>
      </c>
      <c r="Y51" s="3">
        <v>10070.014999999999</v>
      </c>
    </row>
    <row r="52" spans="1:25" s="3" customFormat="1" x14ac:dyDescent="0.3">
      <c r="A52" s="6" t="s">
        <v>93</v>
      </c>
      <c r="K52" s="3">
        <v>1339.3019999999999</v>
      </c>
      <c r="L52" s="3">
        <v>1269.5360000000001</v>
      </c>
      <c r="M52" s="3">
        <v>1199.924</v>
      </c>
      <c r="N52" s="3">
        <v>1256.8150000000001</v>
      </c>
      <c r="O52" s="3">
        <v>1463.915</v>
      </c>
      <c r="P52" s="3">
        <v>1474.605</v>
      </c>
      <c r="X52" s="3">
        <v>1339.3019999999999</v>
      </c>
      <c r="Y52" s="3">
        <v>1463.915</v>
      </c>
    </row>
    <row r="53" spans="1:25" s="3" customFormat="1" x14ac:dyDescent="0.3">
      <c r="A53" s="6" t="s">
        <v>94</v>
      </c>
      <c r="K53" s="3">
        <v>589.88300000000004</v>
      </c>
      <c r="L53" s="3">
        <v>144.26400000000001</v>
      </c>
      <c r="M53" s="3">
        <v>488.16800000000001</v>
      </c>
      <c r="N53" s="3">
        <v>1588.662</v>
      </c>
      <c r="O53" s="3">
        <v>1653.954</v>
      </c>
      <c r="P53" s="3">
        <v>945.69799999999998</v>
      </c>
      <c r="X53" s="3">
        <v>589.88300000000004</v>
      </c>
      <c r="Y53" s="3">
        <v>1653.954</v>
      </c>
    </row>
    <row r="54" spans="1:25" s="31" customFormat="1" x14ac:dyDescent="0.3">
      <c r="A54" s="30" t="s">
        <v>95</v>
      </c>
      <c r="H54" s="31">
        <f t="shared" ref="H54:S54" si="49">SUM(H51:H53)</f>
        <v>0</v>
      </c>
      <c r="I54" s="31">
        <f t="shared" si="49"/>
        <v>0</v>
      </c>
      <c r="J54" s="31">
        <f t="shared" si="49"/>
        <v>0</v>
      </c>
      <c r="K54" s="31">
        <f t="shared" si="49"/>
        <v>12389.603999999999</v>
      </c>
      <c r="L54" s="31">
        <f t="shared" si="49"/>
        <v>10390.096</v>
      </c>
      <c r="M54" s="31">
        <f t="shared" si="49"/>
        <v>10669.303999999998</v>
      </c>
      <c r="N54" s="31">
        <f t="shared" si="49"/>
        <v>11936.031000000001</v>
      </c>
      <c r="O54" s="31">
        <f t="shared" si="49"/>
        <v>13187.884</v>
      </c>
      <c r="P54" s="31">
        <f>SUM(P51:P53)</f>
        <v>11360.616</v>
      </c>
      <c r="Q54" s="31">
        <f t="shared" si="49"/>
        <v>0</v>
      </c>
      <c r="R54" s="31">
        <f t="shared" si="49"/>
        <v>0</v>
      </c>
      <c r="S54" s="31">
        <f t="shared" si="49"/>
        <v>0</v>
      </c>
      <c r="V54" s="31">
        <f t="shared" ref="V54" si="50">SUM(V51:V53)</f>
        <v>0</v>
      </c>
      <c r="W54" s="31">
        <f t="shared" ref="W54:X54" si="51">SUM(W51:W53)</f>
        <v>0</v>
      </c>
      <c r="X54" s="31">
        <f t="shared" si="51"/>
        <v>12389.603999999999</v>
      </c>
      <c r="Y54" s="31">
        <f t="shared" ref="Y54" si="52">SUM(Y51:Y53)</f>
        <v>13187.884</v>
      </c>
    </row>
    <row r="55" spans="1:25" s="3" customFormat="1" x14ac:dyDescent="0.3">
      <c r="A55" s="6" t="s">
        <v>96</v>
      </c>
      <c r="K55" s="3">
        <v>3182.9639999999999</v>
      </c>
      <c r="L55" s="3">
        <v>3719.056</v>
      </c>
      <c r="M55" s="3">
        <v>3672.828</v>
      </c>
      <c r="N55" s="3">
        <v>2615.0010000000002</v>
      </c>
      <c r="O55" s="3">
        <v>2153.5529999999999</v>
      </c>
      <c r="P55" s="3">
        <v>2632.25</v>
      </c>
      <c r="X55" s="3">
        <v>3182.9639999999999</v>
      </c>
      <c r="Y55" s="3">
        <v>2153.5529999999999</v>
      </c>
    </row>
    <row r="56" spans="1:25" s="3" customFormat="1" x14ac:dyDescent="0.3">
      <c r="A56" s="6" t="s">
        <v>97</v>
      </c>
      <c r="K56" s="3">
        <v>579.26099999999997</v>
      </c>
      <c r="L56" s="3">
        <v>567.20000000000005</v>
      </c>
      <c r="M56" s="3">
        <v>539.29300000000001</v>
      </c>
      <c r="N56" s="3">
        <v>533.85299999999995</v>
      </c>
      <c r="O56" s="3">
        <v>507.42399999999998</v>
      </c>
      <c r="P56" s="3">
        <v>500.67200000000003</v>
      </c>
      <c r="X56" s="3">
        <v>579.26099999999997</v>
      </c>
      <c r="Y56" s="3">
        <v>507.42399999999998</v>
      </c>
    </row>
    <row r="57" spans="1:25" s="31" customFormat="1" x14ac:dyDescent="0.3">
      <c r="A57" s="30" t="s">
        <v>101</v>
      </c>
      <c r="H57" s="31">
        <f t="shared" ref="H57:S57" si="53">SUM(H55:H56)+H54</f>
        <v>0</v>
      </c>
      <c r="I57" s="31">
        <f t="shared" si="53"/>
        <v>0</v>
      </c>
      <c r="J57" s="31">
        <f t="shared" si="53"/>
        <v>0</v>
      </c>
      <c r="K57" s="31">
        <f t="shared" si="53"/>
        <v>16151.829</v>
      </c>
      <c r="L57" s="31">
        <f t="shared" si="53"/>
        <v>14676.351999999999</v>
      </c>
      <c r="M57" s="31">
        <f t="shared" si="53"/>
        <v>14881.424999999999</v>
      </c>
      <c r="N57" s="31">
        <f t="shared" si="53"/>
        <v>15084.885000000002</v>
      </c>
      <c r="O57" s="31">
        <f t="shared" si="53"/>
        <v>15848.861000000001</v>
      </c>
      <c r="P57" s="31">
        <f>SUM(P55:P56)+P54</f>
        <v>14493.538</v>
      </c>
      <c r="Q57" s="31">
        <f t="shared" si="53"/>
        <v>0</v>
      </c>
      <c r="R57" s="31">
        <f t="shared" si="53"/>
        <v>0</v>
      </c>
      <c r="S57" s="31">
        <f t="shared" si="53"/>
        <v>0</v>
      </c>
      <c r="V57" s="31">
        <f t="shared" ref="V57" si="54">SUM(V55:V56)+V54</f>
        <v>0</v>
      </c>
      <c r="W57" s="31">
        <f t="shared" ref="W57:X57" si="55">SUM(W55:W56)+W54</f>
        <v>0</v>
      </c>
      <c r="X57" s="31">
        <f t="shared" si="55"/>
        <v>16151.829</v>
      </c>
      <c r="Y57" s="31">
        <f t="shared" ref="Y57" si="56">SUM(Y55:Y56)+Y54</f>
        <v>15848.861000000001</v>
      </c>
    </row>
    <row r="58" spans="1:25" s="3" customFormat="1" x14ac:dyDescent="0.3">
      <c r="A58" s="6" t="s">
        <v>98</v>
      </c>
      <c r="K58" s="3">
        <v>5546.357</v>
      </c>
      <c r="L58" s="3">
        <v>5530.5320000000002</v>
      </c>
      <c r="M58" s="3">
        <v>5586.3450000000003</v>
      </c>
      <c r="N58" s="3">
        <v>5485.2610000000004</v>
      </c>
      <c r="O58" s="3">
        <v>5805.4639999999999</v>
      </c>
      <c r="P58" s="3">
        <v>5699.1459999999997</v>
      </c>
      <c r="X58" s="3">
        <v>5546.357</v>
      </c>
      <c r="Y58" s="3">
        <v>5805.4639999999999</v>
      </c>
    </row>
    <row r="59" spans="1:25" s="3" customFormat="1" x14ac:dyDescent="0.3">
      <c r="A59" s="6" t="s">
        <v>73</v>
      </c>
      <c r="K59" s="3">
        <v>64.995999999999995</v>
      </c>
      <c r="L59" s="3">
        <v>69.647999999999996</v>
      </c>
      <c r="M59" s="3">
        <v>68.129000000000005</v>
      </c>
      <c r="N59" s="3">
        <v>68.213999999999999</v>
      </c>
      <c r="O59" s="3">
        <v>71.843000000000004</v>
      </c>
      <c r="P59" s="3">
        <v>70.191999999999993</v>
      </c>
      <c r="X59" s="3">
        <v>64.995999999999995</v>
      </c>
      <c r="Y59" s="3">
        <v>71.843000000000004</v>
      </c>
    </row>
    <row r="60" spans="1:25" s="31" customFormat="1" x14ac:dyDescent="0.3">
      <c r="A60" s="30" t="s">
        <v>99</v>
      </c>
      <c r="H60" s="31">
        <f t="shared" ref="H60:S60" si="57">SUM(H58:H59)</f>
        <v>0</v>
      </c>
      <c r="I60" s="31">
        <f t="shared" si="57"/>
        <v>0</v>
      </c>
      <c r="J60" s="31">
        <f t="shared" si="57"/>
        <v>0</v>
      </c>
      <c r="K60" s="31">
        <f t="shared" si="57"/>
        <v>5611.3530000000001</v>
      </c>
      <c r="L60" s="31">
        <f t="shared" si="57"/>
        <v>5600.18</v>
      </c>
      <c r="M60" s="31">
        <f t="shared" si="57"/>
        <v>5654.4740000000002</v>
      </c>
      <c r="N60" s="31">
        <f t="shared" si="57"/>
        <v>5553.4750000000004</v>
      </c>
      <c r="O60" s="31">
        <f t="shared" si="57"/>
        <v>5877.3069999999998</v>
      </c>
      <c r="P60" s="31">
        <f>SUM(P58:P59)</f>
        <v>5769.3379999999997</v>
      </c>
      <c r="Q60" s="31">
        <f t="shared" si="57"/>
        <v>0</v>
      </c>
      <c r="R60" s="31">
        <f t="shared" si="57"/>
        <v>0</v>
      </c>
      <c r="S60" s="31">
        <f t="shared" si="57"/>
        <v>0</v>
      </c>
      <c r="V60" s="31">
        <f t="shared" ref="V60" si="58">SUM(V58:V59)</f>
        <v>0</v>
      </c>
      <c r="W60" s="31">
        <f t="shared" ref="W60:X60" si="59">SUM(W58:W59)</f>
        <v>0</v>
      </c>
      <c r="X60" s="31">
        <f t="shared" si="59"/>
        <v>5611.3530000000001</v>
      </c>
      <c r="Y60" s="31">
        <f t="shared" ref="Y60" si="60">SUM(Y58:Y59)</f>
        <v>5877.3069999999998</v>
      </c>
    </row>
    <row r="61" spans="1:25" s="31" customFormat="1" x14ac:dyDescent="0.3">
      <c r="A61" s="30" t="s">
        <v>100</v>
      </c>
      <c r="H61" s="31">
        <f t="shared" ref="H61:S61" si="61">H60+H57</f>
        <v>0</v>
      </c>
      <c r="I61" s="31">
        <f t="shared" si="61"/>
        <v>0</v>
      </c>
      <c r="J61" s="31">
        <f t="shared" si="61"/>
        <v>0</v>
      </c>
      <c r="K61" s="31">
        <f t="shared" si="61"/>
        <v>21763.182000000001</v>
      </c>
      <c r="L61" s="31">
        <f t="shared" si="61"/>
        <v>20276.531999999999</v>
      </c>
      <c r="M61" s="31">
        <f t="shared" si="61"/>
        <v>20535.898999999998</v>
      </c>
      <c r="N61" s="31">
        <f t="shared" si="61"/>
        <v>20638.36</v>
      </c>
      <c r="O61" s="31">
        <f t="shared" si="61"/>
        <v>21726.168000000001</v>
      </c>
      <c r="P61" s="31">
        <f>P60+P57</f>
        <v>20262.876</v>
      </c>
      <c r="Q61" s="31">
        <f t="shared" si="61"/>
        <v>0</v>
      </c>
      <c r="R61" s="31">
        <f t="shared" si="61"/>
        <v>0</v>
      </c>
      <c r="S61" s="31">
        <f t="shared" si="61"/>
        <v>0</v>
      </c>
      <c r="V61" s="31">
        <f t="shared" ref="V61" si="62">V60+V57</f>
        <v>0</v>
      </c>
      <c r="W61" s="31">
        <f t="shared" ref="W61:X61" si="63">W60+W57</f>
        <v>0</v>
      </c>
      <c r="X61" s="31">
        <f t="shared" si="63"/>
        <v>21763.182000000001</v>
      </c>
      <c r="Y61" s="31">
        <f t="shared" ref="Y61" si="64">Y60+Y57</f>
        <v>21726.168000000001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2024-05-12T00:35:53Z</dcterms:modified>
</cp:coreProperties>
</file>