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949" documentId="8_{E6D50E92-F629-4BE8-92E4-254D19D415FA}" xr6:coauthVersionLast="47" xr6:coauthVersionMax="47" xr10:uidLastSave="{50E9E7E1-A142-4CFE-88B1-AF2D9F229D64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R42" i="1"/>
  <c r="Q42" i="1"/>
  <c r="S41" i="1"/>
  <c r="R41" i="1"/>
  <c r="Q41" i="1"/>
  <c r="S40" i="1"/>
  <c r="R40" i="1"/>
  <c r="Q40" i="1"/>
  <c r="S39" i="1"/>
  <c r="R39" i="1"/>
  <c r="Q39" i="1"/>
  <c r="S37" i="1"/>
  <c r="R37" i="1"/>
  <c r="Q37" i="1"/>
  <c r="S36" i="1"/>
  <c r="R36" i="1"/>
  <c r="Q36" i="1"/>
  <c r="Z9" i="1"/>
  <c r="Z10" i="1"/>
  <c r="Z8" i="1"/>
  <c r="P116" i="1"/>
  <c r="P115" i="1"/>
  <c r="P113" i="1"/>
  <c r="P109" i="1"/>
  <c r="P104" i="1"/>
  <c r="P100" i="1"/>
  <c r="P82" i="1"/>
  <c r="P48" i="1"/>
  <c r="P47" i="1"/>
  <c r="P46" i="1"/>
  <c r="P45" i="1"/>
  <c r="P44" i="1"/>
  <c r="P80" i="1"/>
  <c r="P79" i="1"/>
  <c r="P78" i="1"/>
  <c r="S76" i="1"/>
  <c r="R76" i="1"/>
  <c r="Q76" i="1"/>
  <c r="S74" i="1"/>
  <c r="R74" i="1"/>
  <c r="Q74" i="1"/>
  <c r="S70" i="1"/>
  <c r="R70" i="1"/>
  <c r="Q70" i="1"/>
  <c r="P70" i="1"/>
  <c r="P74" i="1" s="1"/>
  <c r="P76" i="1" s="1"/>
  <c r="S64" i="1"/>
  <c r="R64" i="1"/>
  <c r="Q64" i="1"/>
  <c r="P64" i="1"/>
  <c r="S58" i="1"/>
  <c r="R58" i="1"/>
  <c r="Q58" i="1"/>
  <c r="P58" i="1"/>
  <c r="W52" i="1"/>
  <c r="W51" i="1"/>
  <c r="W50" i="1" s="1"/>
  <c r="Y52" i="1"/>
  <c r="X52" i="1"/>
  <c r="Y51" i="1"/>
  <c r="Y50" i="1" s="1"/>
  <c r="X51" i="1"/>
  <c r="X50" i="1" s="1"/>
  <c r="S52" i="1"/>
  <c r="R52" i="1"/>
  <c r="Q52" i="1"/>
  <c r="P52" i="1"/>
  <c r="S51" i="1"/>
  <c r="S50" i="1" s="1"/>
  <c r="R51" i="1"/>
  <c r="R50" i="1" s="1"/>
  <c r="Q51" i="1"/>
  <c r="Q50" i="1" s="1"/>
  <c r="P51" i="1"/>
  <c r="P42" i="1"/>
  <c r="P41" i="1"/>
  <c r="P40" i="1"/>
  <c r="P39" i="1"/>
  <c r="P37" i="1"/>
  <c r="P36" i="1"/>
  <c r="P14" i="1"/>
  <c r="P8" i="1"/>
  <c r="Q9" i="1"/>
  <c r="R9" i="1"/>
  <c r="S9" i="1"/>
  <c r="S14" i="1" s="1"/>
  <c r="Q10" i="1"/>
  <c r="R10" i="1"/>
  <c r="R14" i="1" s="1"/>
  <c r="S10" i="1"/>
  <c r="Q11" i="1"/>
  <c r="R11" i="1"/>
  <c r="S11" i="1"/>
  <c r="Q14" i="1"/>
  <c r="L6" i="2"/>
  <c r="L5" i="2"/>
  <c r="L3" i="2"/>
  <c r="X26" i="1"/>
  <c r="Y22" i="1"/>
  <c r="Y21" i="1"/>
  <c r="X22" i="1"/>
  <c r="X21" i="1"/>
  <c r="X23" i="1"/>
  <c r="X18" i="1"/>
  <c r="X17" i="1"/>
  <c r="X16" i="1"/>
  <c r="X11" i="1"/>
  <c r="X10" i="1"/>
  <c r="X5" i="1"/>
  <c r="X4" i="1"/>
  <c r="X3" i="1"/>
  <c r="X9" i="1"/>
  <c r="X29" i="1"/>
  <c r="X32" i="1"/>
  <c r="Y32" i="1"/>
  <c r="Y29" i="1"/>
  <c r="Y23" i="1"/>
  <c r="Y26" i="1"/>
  <c r="X28" i="1"/>
  <c r="Y28" i="1"/>
  <c r="Y18" i="1"/>
  <c r="Y17" i="1"/>
  <c r="Y16" i="1"/>
  <c r="Y19" i="1" s="1"/>
  <c r="Y11" i="1"/>
  <c r="Y10" i="1"/>
  <c r="Y9" i="1"/>
  <c r="Y5" i="1"/>
  <c r="Y4" i="1"/>
  <c r="Y3" i="1"/>
  <c r="Q29" i="1"/>
  <c r="P50" i="1" l="1"/>
  <c r="Y8" i="1"/>
  <c r="X19" i="1"/>
  <c r="Y14" i="1"/>
  <c r="Y15" i="1" s="1"/>
  <c r="X8" i="1"/>
  <c r="Y36" i="1" s="1"/>
  <c r="Q28" i="1"/>
  <c r="X14" i="1"/>
  <c r="X15" i="1" s="1"/>
  <c r="Y24" i="1"/>
  <c r="X24" i="1"/>
  <c r="R29" i="1"/>
  <c r="S29" i="1" s="1"/>
  <c r="N52" i="1"/>
  <c r="M52" i="1"/>
  <c r="L52" i="1"/>
  <c r="N51" i="1"/>
  <c r="M51" i="1"/>
  <c r="L51" i="1"/>
  <c r="N70" i="1"/>
  <c r="N74" i="1" s="1"/>
  <c r="N76" i="1" s="1"/>
  <c r="M70" i="1"/>
  <c r="M74" i="1" s="1"/>
  <c r="M76" i="1" s="1"/>
  <c r="L70" i="1"/>
  <c r="N58" i="1"/>
  <c r="N64" i="1" s="1"/>
  <c r="M58" i="1"/>
  <c r="M64" i="1" s="1"/>
  <c r="L58" i="1"/>
  <c r="L64" i="1" s="1"/>
  <c r="O52" i="1"/>
  <c r="O51" i="1"/>
  <c r="O70" i="1"/>
  <c r="O74" i="1" s="1"/>
  <c r="O76" i="1" s="1"/>
  <c r="O58" i="1"/>
  <c r="O64" i="1" s="1"/>
  <c r="H24" i="1"/>
  <c r="H19" i="1"/>
  <c r="H14" i="1"/>
  <c r="H8" i="1"/>
  <c r="L24" i="1"/>
  <c r="L19" i="1"/>
  <c r="L14" i="1"/>
  <c r="L8" i="1"/>
  <c r="I24" i="1"/>
  <c r="I19" i="1"/>
  <c r="I14" i="1"/>
  <c r="I8" i="1"/>
  <c r="M24" i="1"/>
  <c r="M19" i="1"/>
  <c r="M14" i="1"/>
  <c r="M8" i="1"/>
  <c r="Q8" i="1" s="1"/>
  <c r="J24" i="1"/>
  <c r="J19" i="1"/>
  <c r="J14" i="1"/>
  <c r="J8" i="1"/>
  <c r="J37" i="1" s="1"/>
  <c r="N24" i="1"/>
  <c r="N19" i="1"/>
  <c r="N14" i="1"/>
  <c r="N8" i="1"/>
  <c r="R8" i="1" s="1"/>
  <c r="K14" i="1"/>
  <c r="K24" i="1"/>
  <c r="K19" i="1"/>
  <c r="K8" i="1"/>
  <c r="K37" i="1" s="1"/>
  <c r="O24" i="1"/>
  <c r="O19" i="1"/>
  <c r="O14" i="1"/>
  <c r="O8" i="1"/>
  <c r="L8" i="2"/>
  <c r="L4" i="2"/>
  <c r="O79" i="1" l="1"/>
  <c r="N50" i="1"/>
  <c r="X20" i="1"/>
  <c r="X39" i="1"/>
  <c r="Q16" i="1"/>
  <c r="Q17" i="1"/>
  <c r="Q18" i="1"/>
  <c r="Z29" i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R17" i="1"/>
  <c r="R18" i="1"/>
  <c r="S8" i="1"/>
  <c r="R16" i="1"/>
  <c r="Y20" i="1"/>
  <c r="Y40" i="1" s="1"/>
  <c r="Y39" i="1"/>
  <c r="R28" i="1"/>
  <c r="S28" i="1" s="1"/>
  <c r="N37" i="1"/>
  <c r="O80" i="1"/>
  <c r="L79" i="1"/>
  <c r="M79" i="1"/>
  <c r="L80" i="1"/>
  <c r="N79" i="1"/>
  <c r="M80" i="1"/>
  <c r="N80" i="1"/>
  <c r="O50" i="1"/>
  <c r="I37" i="1"/>
  <c r="L74" i="1"/>
  <c r="L76" i="1" s="1"/>
  <c r="L50" i="1"/>
  <c r="M50" i="1"/>
  <c r="M36" i="1"/>
  <c r="L37" i="1"/>
  <c r="O37" i="1"/>
  <c r="O36" i="1"/>
  <c r="L36" i="1"/>
  <c r="N36" i="1"/>
  <c r="M37" i="1"/>
  <c r="H15" i="1"/>
  <c r="L15" i="1"/>
  <c r="I15" i="1"/>
  <c r="M15" i="1"/>
  <c r="J15" i="1"/>
  <c r="N15" i="1"/>
  <c r="K15" i="1"/>
  <c r="K39" i="1" s="1"/>
  <c r="O15" i="1"/>
  <c r="O20" i="1" s="1"/>
  <c r="L7" i="2"/>
  <c r="Q19" i="1" l="1"/>
  <c r="Q15" i="1"/>
  <c r="Q20" i="1" s="1"/>
  <c r="P19" i="1"/>
  <c r="R15" i="1"/>
  <c r="Y25" i="1"/>
  <c r="Z28" i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A8" i="1"/>
  <c r="Z36" i="1"/>
  <c r="R19" i="1"/>
  <c r="P15" i="1"/>
  <c r="Z11" i="1"/>
  <c r="S16" i="1"/>
  <c r="Z16" i="1" s="1"/>
  <c r="S18" i="1"/>
  <c r="Z18" i="1" s="1"/>
  <c r="S17" i="1"/>
  <c r="Z17" i="1" s="1"/>
  <c r="X25" i="1"/>
  <c r="X40" i="1"/>
  <c r="J20" i="1"/>
  <c r="J39" i="1"/>
  <c r="I20" i="1"/>
  <c r="I39" i="1"/>
  <c r="O25" i="1"/>
  <c r="O40" i="1"/>
  <c r="M20" i="1"/>
  <c r="M39" i="1"/>
  <c r="L20" i="1"/>
  <c r="L39" i="1"/>
  <c r="H20" i="1"/>
  <c r="H39" i="1"/>
  <c r="N20" i="1"/>
  <c r="N39" i="1"/>
  <c r="K20" i="1"/>
  <c r="O39" i="1"/>
  <c r="Z19" i="1" l="1"/>
  <c r="Z14" i="1"/>
  <c r="Z15" i="1" s="1"/>
  <c r="Y27" i="1"/>
  <c r="Y41" i="1" s="1"/>
  <c r="Y42" i="1"/>
  <c r="R20" i="1"/>
  <c r="P20" i="1"/>
  <c r="X27" i="1"/>
  <c r="X41" i="1" s="1"/>
  <c r="X42" i="1"/>
  <c r="S19" i="1"/>
  <c r="AA16" i="1"/>
  <c r="AB8" i="1"/>
  <c r="AA36" i="1"/>
  <c r="AA9" i="1"/>
  <c r="AA10" i="1"/>
  <c r="AA17" i="1"/>
  <c r="AA11" i="1"/>
  <c r="AA18" i="1"/>
  <c r="S15" i="1"/>
  <c r="Q23" i="1"/>
  <c r="Q24" i="1" s="1"/>
  <c r="Q25" i="1" s="1"/>
  <c r="L46" i="1"/>
  <c r="M46" i="1"/>
  <c r="O46" i="1"/>
  <c r="N46" i="1"/>
  <c r="H25" i="1"/>
  <c r="H40" i="1"/>
  <c r="N25" i="1"/>
  <c r="N40" i="1"/>
  <c r="K25" i="1"/>
  <c r="K40" i="1"/>
  <c r="M25" i="1"/>
  <c r="M40" i="1"/>
  <c r="O27" i="1"/>
  <c r="O42" i="1"/>
  <c r="O78" i="1" s="1"/>
  <c r="I25" i="1"/>
  <c r="I40" i="1"/>
  <c r="L25" i="1"/>
  <c r="L40" i="1"/>
  <c r="J25" i="1"/>
  <c r="J40" i="1"/>
  <c r="S20" i="1" l="1"/>
  <c r="Q26" i="1"/>
  <c r="Q27" i="1" s="1"/>
  <c r="Q30" i="1" s="1"/>
  <c r="Q31" i="1" s="1"/>
  <c r="AA14" i="1"/>
  <c r="AA15" i="1" s="1"/>
  <c r="R23" i="1"/>
  <c r="R24" i="1" s="1"/>
  <c r="R25" i="1" s="1"/>
  <c r="AA19" i="1"/>
  <c r="AB18" i="1"/>
  <c r="AB36" i="1"/>
  <c r="AB17" i="1"/>
  <c r="AB10" i="1"/>
  <c r="AB16" i="1"/>
  <c r="AC8" i="1"/>
  <c r="AB9" i="1"/>
  <c r="AB11" i="1"/>
  <c r="S23" i="1"/>
  <c r="S24" i="1" s="1"/>
  <c r="S25" i="1" s="1"/>
  <c r="Z20" i="1"/>
  <c r="Z39" i="1"/>
  <c r="J27" i="1"/>
  <c r="J42" i="1"/>
  <c r="K27" i="1"/>
  <c r="K42" i="1"/>
  <c r="M27" i="1"/>
  <c r="M42" i="1"/>
  <c r="M78" i="1" s="1"/>
  <c r="L27" i="1"/>
  <c r="L42" i="1"/>
  <c r="L78" i="1" s="1"/>
  <c r="I27" i="1"/>
  <c r="I42" i="1"/>
  <c r="N27" i="1"/>
  <c r="N42" i="1"/>
  <c r="N78" i="1" s="1"/>
  <c r="O30" i="1"/>
  <c r="O31" i="1" s="1"/>
  <c r="O41" i="1"/>
  <c r="H27" i="1"/>
  <c r="H42" i="1"/>
  <c r="AB14" i="1" l="1"/>
  <c r="AB15" i="1" s="1"/>
  <c r="AB39" i="1" s="1"/>
  <c r="O48" i="1"/>
  <c r="O47" i="1"/>
  <c r="S26" i="1"/>
  <c r="S27" i="1" s="1"/>
  <c r="S30" i="1" s="1"/>
  <c r="S31" i="1" s="1"/>
  <c r="R26" i="1"/>
  <c r="R27" i="1" s="1"/>
  <c r="R30" i="1" s="1"/>
  <c r="R31" i="1" s="1"/>
  <c r="Z40" i="1"/>
  <c r="AA20" i="1"/>
  <c r="AA39" i="1"/>
  <c r="P24" i="1"/>
  <c r="P25" i="1" s="1"/>
  <c r="Z23" i="1"/>
  <c r="Z24" i="1" s="1"/>
  <c r="Z25" i="1" s="1"/>
  <c r="AC16" i="1"/>
  <c r="AD8" i="1"/>
  <c r="AC36" i="1"/>
  <c r="AC9" i="1"/>
  <c r="AC18" i="1"/>
  <c r="AC17" i="1"/>
  <c r="AC11" i="1"/>
  <c r="AC10" i="1"/>
  <c r="AB19" i="1"/>
  <c r="N47" i="1"/>
  <c r="N45" i="1"/>
  <c r="N44" i="1"/>
  <c r="L47" i="1"/>
  <c r="L45" i="1"/>
  <c r="L44" i="1"/>
  <c r="M47" i="1"/>
  <c r="M45" i="1"/>
  <c r="M44" i="1"/>
  <c r="O45" i="1"/>
  <c r="O44" i="1"/>
  <c r="H30" i="1"/>
  <c r="H41" i="1"/>
  <c r="L30" i="1"/>
  <c r="L41" i="1"/>
  <c r="M30" i="1"/>
  <c r="M31" i="1" s="1"/>
  <c r="M41" i="1"/>
  <c r="N30" i="1"/>
  <c r="N31" i="1" s="1"/>
  <c r="N41" i="1"/>
  <c r="K30" i="1"/>
  <c r="K31" i="1" s="1"/>
  <c r="K41" i="1"/>
  <c r="I30" i="1"/>
  <c r="I31" i="1" s="1"/>
  <c r="I41" i="1"/>
  <c r="J30" i="1"/>
  <c r="J31" i="1" s="1"/>
  <c r="J41" i="1"/>
  <c r="AB20" i="1" l="1"/>
  <c r="AC19" i="1"/>
  <c r="AB40" i="1"/>
  <c r="AB23" i="1"/>
  <c r="AB24" i="1" s="1"/>
  <c r="AB25" i="1" s="1"/>
  <c r="AB26" i="1" s="1"/>
  <c r="H31" i="1"/>
  <c r="X31" i="1" s="1"/>
  <c r="X30" i="1"/>
  <c r="L31" i="1"/>
  <c r="Y31" i="1" s="1"/>
  <c r="Y30" i="1"/>
  <c r="AE8" i="1"/>
  <c r="AD10" i="1"/>
  <c r="AD17" i="1"/>
  <c r="AD9" i="1"/>
  <c r="AD11" i="1"/>
  <c r="AD36" i="1"/>
  <c r="AD16" i="1"/>
  <c r="AD18" i="1"/>
  <c r="AC14" i="1"/>
  <c r="AC15" i="1" s="1"/>
  <c r="Z26" i="1"/>
  <c r="Z42" i="1" s="1"/>
  <c r="AA40" i="1"/>
  <c r="AA23" i="1"/>
  <c r="AA24" i="1" s="1"/>
  <c r="AA25" i="1" s="1"/>
  <c r="Z27" i="1" l="1"/>
  <c r="Z41" i="1" s="1"/>
  <c r="P27" i="1"/>
  <c r="P30" i="1" s="1"/>
  <c r="P31" i="1" s="1"/>
  <c r="AC20" i="1"/>
  <c r="AC39" i="1"/>
  <c r="AD19" i="1"/>
  <c r="AF8" i="1"/>
  <c r="AE36" i="1"/>
  <c r="AE17" i="1"/>
  <c r="AE18" i="1"/>
  <c r="AE9" i="1"/>
  <c r="AE10" i="1"/>
  <c r="AE16" i="1"/>
  <c r="AE11" i="1"/>
  <c r="AA26" i="1"/>
  <c r="AA42" i="1" s="1"/>
  <c r="AB27" i="1"/>
  <c r="AB42" i="1"/>
  <c r="AD14" i="1"/>
  <c r="AD15" i="1" s="1"/>
  <c r="Z30" i="1" l="1"/>
  <c r="Z31" i="1" s="1"/>
  <c r="AE14" i="1"/>
  <c r="AE15" i="1" s="1"/>
  <c r="AE39" i="1" s="1"/>
  <c r="AA27" i="1"/>
  <c r="AB41" i="1"/>
  <c r="AB30" i="1"/>
  <c r="AB31" i="1" s="1"/>
  <c r="AA30" i="1"/>
  <c r="AA31" i="1" s="1"/>
  <c r="AA41" i="1"/>
  <c r="AF17" i="1"/>
  <c r="AF9" i="1"/>
  <c r="AF18" i="1"/>
  <c r="AF10" i="1"/>
  <c r="AF36" i="1"/>
  <c r="AG8" i="1"/>
  <c r="AF11" i="1"/>
  <c r="AF16" i="1"/>
  <c r="AD20" i="1"/>
  <c r="AD39" i="1"/>
  <c r="AE19" i="1"/>
  <c r="AE20" i="1" s="1"/>
  <c r="AC40" i="1"/>
  <c r="AC23" i="1"/>
  <c r="AC24" i="1" s="1"/>
  <c r="AC25" i="1" s="1"/>
  <c r="AC26" i="1" s="1"/>
  <c r="AF14" i="1" l="1"/>
  <c r="AF15" i="1" s="1"/>
  <c r="AE40" i="1"/>
  <c r="AE23" i="1"/>
  <c r="AE24" i="1" s="1"/>
  <c r="AE25" i="1" s="1"/>
  <c r="AE26" i="1" s="1"/>
  <c r="AF39" i="1"/>
  <c r="AD40" i="1"/>
  <c r="AD23" i="1"/>
  <c r="AD24" i="1" s="1"/>
  <c r="AD25" i="1" s="1"/>
  <c r="AD26" i="1" s="1"/>
  <c r="AF19" i="1"/>
  <c r="AF20" i="1" s="1"/>
  <c r="AC27" i="1"/>
  <c r="AC42" i="1"/>
  <c r="AG17" i="1"/>
  <c r="AG9" i="1"/>
  <c r="AG10" i="1"/>
  <c r="AG11" i="1"/>
  <c r="AG16" i="1"/>
  <c r="AG18" i="1"/>
  <c r="AG36" i="1"/>
  <c r="AH8" i="1"/>
  <c r="AF40" i="1" l="1"/>
  <c r="AF23" i="1"/>
  <c r="AF24" i="1" s="1"/>
  <c r="AF25" i="1" s="1"/>
  <c r="AF26" i="1" s="1"/>
  <c r="AC30" i="1"/>
  <c r="AC31" i="1" s="1"/>
  <c r="AC41" i="1"/>
  <c r="AD27" i="1"/>
  <c r="AD42" i="1"/>
  <c r="AG19" i="1"/>
  <c r="AG14" i="1"/>
  <c r="AG15" i="1" s="1"/>
  <c r="AE27" i="1"/>
  <c r="AE42" i="1"/>
  <c r="AI8" i="1"/>
  <c r="AH10" i="1"/>
  <c r="AH16" i="1"/>
  <c r="AH17" i="1"/>
  <c r="AH9" i="1"/>
  <c r="AH14" i="1" s="1"/>
  <c r="AH15" i="1" s="1"/>
  <c r="AH36" i="1"/>
  <c r="AH11" i="1"/>
  <c r="AH18" i="1"/>
  <c r="AH39" i="1" l="1"/>
  <c r="AI36" i="1"/>
  <c r="AJ8" i="1"/>
  <c r="AI16" i="1"/>
  <c r="AI10" i="1"/>
  <c r="AI9" i="1"/>
  <c r="AI17" i="1"/>
  <c r="AI18" i="1"/>
  <c r="AI11" i="1"/>
  <c r="AD41" i="1"/>
  <c r="AD30" i="1"/>
  <c r="AD31" i="1" s="1"/>
  <c r="AH19" i="1"/>
  <c r="AH20" i="1" s="1"/>
  <c r="AF27" i="1"/>
  <c r="AF42" i="1"/>
  <c r="AE41" i="1"/>
  <c r="AE30" i="1"/>
  <c r="AE31" i="1" s="1"/>
  <c r="AG20" i="1"/>
  <c r="AG39" i="1"/>
  <c r="AI14" i="1" l="1"/>
  <c r="AI15" i="1" s="1"/>
  <c r="AI39" i="1" s="1"/>
  <c r="AH40" i="1"/>
  <c r="AH23" i="1"/>
  <c r="AH24" i="1" s="1"/>
  <c r="AH25" i="1" s="1"/>
  <c r="AH26" i="1" s="1"/>
  <c r="AF30" i="1"/>
  <c r="AF31" i="1" s="1"/>
  <c r="AF41" i="1"/>
  <c r="AI19" i="1"/>
  <c r="AG40" i="1"/>
  <c r="AG23" i="1"/>
  <c r="AG24" i="1" s="1"/>
  <c r="AG25" i="1" s="1"/>
  <c r="AG26" i="1" s="1"/>
  <c r="AJ18" i="1"/>
  <c r="AJ36" i="1"/>
  <c r="AJ9" i="1"/>
  <c r="AJ17" i="1"/>
  <c r="AJ10" i="1"/>
  <c r="AJ16" i="1"/>
  <c r="AJ11" i="1"/>
  <c r="AJ14" i="1" l="1"/>
  <c r="AJ15" i="1" s="1"/>
  <c r="AI20" i="1"/>
  <c r="AI40" i="1" s="1"/>
  <c r="AJ39" i="1"/>
  <c r="AI23" i="1"/>
  <c r="AI24" i="1" s="1"/>
  <c r="AI25" i="1" s="1"/>
  <c r="AI26" i="1" s="1"/>
  <c r="AG27" i="1"/>
  <c r="AG42" i="1"/>
  <c r="AJ19" i="1"/>
  <c r="AJ20" i="1" s="1"/>
  <c r="AH27" i="1"/>
  <c r="AH42" i="1"/>
  <c r="AJ40" i="1" l="1"/>
  <c r="AJ23" i="1"/>
  <c r="AJ24" i="1" s="1"/>
  <c r="AJ25" i="1" s="1"/>
  <c r="AJ26" i="1" s="1"/>
  <c r="AH30" i="1"/>
  <c r="AH31" i="1" s="1"/>
  <c r="AH41" i="1"/>
  <c r="AG30" i="1"/>
  <c r="AG31" i="1" s="1"/>
  <c r="AG41" i="1"/>
  <c r="AI27" i="1"/>
  <c r="AI42" i="1"/>
  <c r="AI30" i="1" l="1"/>
  <c r="AI31" i="1" s="1"/>
  <c r="AI41" i="1"/>
  <c r="AJ27" i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AN36" i="1" s="1"/>
  <c r="AN38" i="1" s="1"/>
  <c r="AN39" i="1" s="1"/>
  <c r="AN40" i="1" s="1"/>
  <c r="AJ42" i="1"/>
  <c r="AJ30" i="1" l="1"/>
  <c r="AJ31" i="1" s="1"/>
  <c r="AJ41" i="1"/>
</calcChain>
</file>

<file path=xl/sharedStrings.xml><?xml version="1.0" encoding="utf-8"?>
<sst xmlns="http://schemas.openxmlformats.org/spreadsheetml/2006/main" count="156" uniqueCount="138">
  <si>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</si>
  <si>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</si>
  <si>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</si>
  <si>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</si>
  <si>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</si>
  <si>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</si>
  <si>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</si>
  <si>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</si>
  <si>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</si>
  <si>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</si>
  <si>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</si>
  <si>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</si>
  <si>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</si>
  <si>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</si>
  <si>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</si>
  <si>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</si>
  <si>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</si>
  <si>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</si>
  <si>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</si>
  <si>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</si>
  <si>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</si>
  <si>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</si>
  <si>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</si>
  <si>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</si>
  <si>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</si>
  <si>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</si>
  <si>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</si>
  <si>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CRICUT, INC</t>
  </si>
  <si>
    <t>Ashish Arora</t>
  </si>
  <si>
    <t>Technology company with a connected platform for with 8.9 million users as of</t>
  </si>
  <si>
    <t>Dec 31, 2023. The Cricut platform centers around a cloud-based app,</t>
  </si>
  <si>
    <t>"Cricut Design Space", giving users access to create and work on their projects</t>
  </si>
  <si>
    <t xml:space="preserve">anywhere, at any time, across desktop or mobile devices. </t>
  </si>
  <si>
    <t xml:space="preserve">Also extend the platform to hardware with connected machines. The portfolio of </t>
  </si>
  <si>
    <t>connected machines cuts, writes, scores , and creates decorative effects for a wide</t>
  </si>
  <si>
    <t>range of use cases on an array of materials including paper, vinyl, wood, and leather</t>
  </si>
  <si>
    <t>These machines are:</t>
  </si>
  <si>
    <t>Cricut Joy family for perzonalization, organization, and customization.</t>
  </si>
  <si>
    <t>Cricut Explore family for cutting, writin and scoring.</t>
  </si>
  <si>
    <t>Cricut Maker family for cutting, writing, scoring and adding decorative effects.</t>
  </si>
  <si>
    <t xml:space="preserve">Cricut Venture for cutting, writing, and scoring large-format projects </t>
  </si>
  <si>
    <t>Connected machines</t>
  </si>
  <si>
    <t>Subscriptions</t>
  </si>
  <si>
    <t>Accessories and materials</t>
  </si>
  <si>
    <t>Revenue</t>
  </si>
  <si>
    <t>Connected machines COGS</t>
  </si>
  <si>
    <t>Subscriptions COGS</t>
  </si>
  <si>
    <t>Accessories and materials COGS</t>
  </si>
  <si>
    <t>Total COGS</t>
  </si>
  <si>
    <t>Gross Profit</t>
  </si>
  <si>
    <t>Operating expenses</t>
  </si>
  <si>
    <t>R&amp;D</t>
  </si>
  <si>
    <t>S&amp;M</t>
  </si>
  <si>
    <t>G&amp;A</t>
  </si>
  <si>
    <t>Interest income</t>
  </si>
  <si>
    <t>Interest expense</t>
  </si>
  <si>
    <t>Other income</t>
  </si>
  <si>
    <t>Total other</t>
  </si>
  <si>
    <t>Pretax</t>
  </si>
  <si>
    <t>Net income</t>
  </si>
  <si>
    <t>Gains (losses) marketable securities</t>
  </si>
  <si>
    <t>Currency translation</t>
  </si>
  <si>
    <t>Comprehensive income</t>
  </si>
  <si>
    <t>EPS</t>
  </si>
  <si>
    <t>Gross Margin %</t>
  </si>
  <si>
    <t>Operating income</t>
  </si>
  <si>
    <t>Taxes</t>
  </si>
  <si>
    <t>Operating Margin %</t>
  </si>
  <si>
    <t>Net Margin %</t>
  </si>
  <si>
    <t xml:space="preserve">Tax Rate % </t>
  </si>
  <si>
    <t>Revenue Y/Y</t>
  </si>
  <si>
    <t>Revenue Q/Q</t>
  </si>
  <si>
    <t>Marketable securities</t>
  </si>
  <si>
    <t>A/R</t>
  </si>
  <si>
    <t>Inventories</t>
  </si>
  <si>
    <t>Prepaids</t>
  </si>
  <si>
    <t>Current assets</t>
  </si>
  <si>
    <t>P&amp;E</t>
  </si>
  <si>
    <t>Operating leases</t>
  </si>
  <si>
    <t>Intangibles</t>
  </si>
  <si>
    <t>DT</t>
  </si>
  <si>
    <t>OA</t>
  </si>
  <si>
    <t>Assets</t>
  </si>
  <si>
    <t>A/P</t>
  </si>
  <si>
    <t>Accrued expenses</t>
  </si>
  <si>
    <t>Deferred revenue</t>
  </si>
  <si>
    <t>Leases</t>
  </si>
  <si>
    <t>Dividends</t>
  </si>
  <si>
    <t>Current liabilities</t>
  </si>
  <si>
    <t>Leases net of current</t>
  </si>
  <si>
    <t>ONCL</t>
  </si>
  <si>
    <t>Liabilities</t>
  </si>
  <si>
    <t>SE</t>
  </si>
  <si>
    <t>L+SE</t>
  </si>
  <si>
    <t>Net cash</t>
  </si>
  <si>
    <t>ROA</t>
  </si>
  <si>
    <t>ROCE</t>
  </si>
  <si>
    <t>ROE</t>
  </si>
  <si>
    <t>ROIC</t>
  </si>
  <si>
    <t>Capital Employed</t>
  </si>
  <si>
    <t>Invested Capital</t>
  </si>
  <si>
    <t>NOPAT</t>
  </si>
  <si>
    <t>Maturity</t>
  </si>
  <si>
    <t>Discount</t>
  </si>
  <si>
    <t>NPV</t>
  </si>
  <si>
    <t>Value</t>
  </si>
  <si>
    <t>Per share</t>
  </si>
  <si>
    <t>Upside/Downside</t>
  </si>
  <si>
    <t>Platform</t>
  </si>
  <si>
    <t>Products</t>
  </si>
  <si>
    <t>Platform COGS</t>
  </si>
  <si>
    <t>Products COGS</t>
  </si>
  <si>
    <t>Reported NI</t>
  </si>
  <si>
    <t>D&amp;A</t>
  </si>
  <si>
    <t>Bad debt expense</t>
  </si>
  <si>
    <t>Impairments</t>
  </si>
  <si>
    <t>SBC</t>
  </si>
  <si>
    <t>Non-cash lease expense</t>
  </si>
  <si>
    <t>Unrealized foreign currency loss</t>
  </si>
  <si>
    <t>Provision for inventory obsolescence</t>
  </si>
  <si>
    <t>Other</t>
  </si>
  <si>
    <t>DR</t>
  </si>
  <si>
    <t>CFFO</t>
  </si>
  <si>
    <t>CFFI</t>
  </si>
  <si>
    <t>Purchases of marketable securities</t>
  </si>
  <si>
    <t>Proceeds from maturuities of MS</t>
  </si>
  <si>
    <t>Purchases of P&amp;E, including capitalized software dev cost</t>
  </si>
  <si>
    <t>Buyback</t>
  </si>
  <si>
    <t xml:space="preserve">Exercice of stock options </t>
  </si>
  <si>
    <t>Employee tax withholding payments on Sbawards</t>
  </si>
  <si>
    <t>Dividend</t>
  </si>
  <si>
    <t>CFFF</t>
  </si>
  <si>
    <t>Exchange rate on cash</t>
  </si>
  <si>
    <t>Increase in cash</t>
  </si>
  <si>
    <t>Cash at beginning of period</t>
  </si>
  <si>
    <t>Cash at end of period</t>
  </si>
  <si>
    <t>Cash Flow</t>
  </si>
  <si>
    <t>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</si>
</sst>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_ ;[Red]\-#,##0\ "/>
  </numFmts>
  <fonts count="13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9" fillId="0" borderId="0" xfId="0" applyFont="1"/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9" fillId="0" borderId="5" xfId="0" applyFont="1" applyBorder="1"/>
    <xf numFmtId="0" fontId="0" fillId="0" borderId="6" xfId="0" applyBorder="1"/>
    <xf numFmtId="0" fontId="9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9" fontId="0" fillId="0" borderId="0" xfId="0" applyNumberFormat="1"/>
    <xf numFmtId="3" fontId="8" fillId="0" borderId="0" xfId="0" applyNumberFormat="1" applyFont="1"/>
    <xf numFmtId="3" fontId="8" fillId="0" borderId="10" xfId="0" applyNumberFormat="1" applyFont="1" applyBorder="1"/>
    <xf numFmtId="3" fontId="8" fillId="2" borderId="10" xfId="0" applyNumberFormat="1" applyFont="1" applyFill="1" applyBorder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0" borderId="10" xfId="0" applyNumberFormat="1" applyBorder="1"/>
    <xf numFmtId="3" fontId="11" fillId="2" borderId="0" xfId="0" applyNumberFormat="1" applyFont="1" applyFill="1"/>
    <xf numFmtId="3" fontId="11" fillId="0" borderId="0" xfId="0" applyNumberFormat="1" applyFont="1"/>
    <xf numFmtId="3" fontId="10" fillId="2" borderId="0" xfId="0" applyNumberFormat="1" applyFont="1" applyFill="1"/>
    <xf numFmtId="3" fontId="10" fillId="0" borderId="0" xfId="0" applyNumberFormat="1" applyFont="1"/>
    <xf numFmtId="3" fontId="10" fillId="2" borderId="11" xfId="0" applyNumberFormat="1" applyFont="1" applyFill="1" applyBorder="1"/>
    <xf numFmtId="3" fontId="10" fillId="0" borderId="11" xfId="0" applyNumberFormat="1" applyFont="1" applyBorder="1"/>
    <xf numFmtId="0" fontId="10" fillId="2" borderId="3" xfId="0" applyFont="1" applyFill="1" applyBorder="1"/>
    <xf numFmtId="0" fontId="10" fillId="0" borderId="3" xfId="0" applyFont="1" applyBorder="1"/>
    <xf numFmtId="9" fontId="10" fillId="0" borderId="3" xfId="0" applyNumberFormat="1" applyFont="1" applyBorder="1"/>
    <xf numFmtId="0" fontId="10" fillId="2" borderId="8" xfId="0" applyFont="1" applyFill="1" applyBorder="1"/>
    <xf numFmtId="0" fontId="10" fillId="0" borderId="8" xfId="0" applyFont="1" applyBorder="1"/>
    <xf numFmtId="3" fontId="10" fillId="0" borderId="8" xfId="0" applyNumberFormat="1" applyFont="1" applyBorder="1"/>
    <xf numFmtId="9" fontId="10" fillId="0" borderId="8" xfId="0" applyNumberFormat="1" applyFont="1" applyBorder="1"/>
    <xf numFmtId="0" fontId="10" fillId="2" borderId="0" xfId="0" applyFont="1" applyFill="1"/>
    <xf numFmtId="0" fontId="10" fillId="0" borderId="0" xfId="0" applyFont="1"/>
    <xf numFmtId="9" fontId="10" fillId="0" borderId="0" xfId="0" applyNumberFormat="1" applyFont="1"/>
    <xf numFmtId="3" fontId="8" fillId="2" borderId="0" xfId="0" applyNumberFormat="1" applyFont="1" applyFill="1"/>
    <xf numFmtId="3" fontId="0" fillId="2" borderId="10" xfId="0" applyNumberFormat="1" applyFill="1" applyBorder="1"/>
    <xf numFmtId="9" fontId="0" fillId="0" borderId="0" xfId="2" applyFont="1"/>
    <xf numFmtId="165" fontId="10" fillId="0" borderId="3" xfId="0" applyNumberFormat="1" applyFont="1" applyBorder="1"/>
    <xf numFmtId="165" fontId="0" fillId="0" borderId="0" xfId="0" applyNumberFormat="1"/>
    <xf numFmtId="2" fontId="10" fillId="0" borderId="3" xfId="0" applyNumberFormat="1" applyFont="1" applyBorder="1"/>
    <xf numFmtId="3" fontId="10" fillId="0" borderId="3" xfId="0" applyNumberFormat="1" applyFont="1" applyBorder="1"/>
    <xf numFmtId="3" fontId="10" fillId="2" borderId="3" xfId="0" applyNumberFormat="1" applyFont="1" applyFill="1" applyBorder="1"/>
    <xf numFmtId="3" fontId="10" fillId="2" borderId="8" xfId="0" applyNumberFormat="1" applyFont="1" applyFill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3">
    <cellStyle name="Prósent" xfId="2" builtinId="5"/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111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0</xdr:colOff>
      <xdr:row>111</xdr:row>
      <xdr:rowOff>157926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129BD8ED-9A91-4C4A-AAC4-54ADB04A6D69}"/>
            </a:ext>
          </a:extLst>
        </xdr:cNvPr>
        <xdr:cNvCxnSpPr/>
      </xdr:nvCxnSpPr>
      <xdr:spPr>
        <a:xfrm>
          <a:off x="11963400" y="269631"/>
          <a:ext cx="0" cy="20157495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17"/>
  <sheetViews>
    <sheetView workbookViewId="0">
      <selection activeCell="I23" sqref="I23"/>
    </sheetView>
  </sheetViews>
  <sheetFormatPr defaultRowHeight="14.4" x14ac:dyDescent="0.3"/>
  <cols>
    <col min="2" max="2" width="12.88671875" customWidth="1"/>
    <col min="12" max="12" width="13.88671875" customWidth="1"/>
    <col min="13" max="13" width="9.109375" customWidth="1"/>
  </cols>
  <sheetData>
    <row r="1" spans="2:13" ht="21" x14ac:dyDescent="0.4">
      <c r="B1" s="8" t="s">
        <v>17</v>
      </c>
      <c r="K1" s="53"/>
      <c r="L1" s="53"/>
    </row>
    <row r="2" spans="2:13" ht="22.8" x14ac:dyDescent="0.3">
      <c r="B2" s="54" t="s">
        <v>27</v>
      </c>
      <c r="C2" s="54"/>
      <c r="D2" s="54"/>
      <c r="E2" s="54"/>
      <c r="F2" s="54"/>
      <c r="G2" s="54"/>
      <c r="H2" s="54"/>
      <c r="I2" s="54"/>
      <c r="K2" s="1" t="s">
        <v>0</v>
      </c>
      <c r="L2" s="4">
        <v>6.06</v>
      </c>
    </row>
    <row r="3" spans="2:13" x14ac:dyDescent="0.3">
      <c r="K3" s="1" t="s">
        <v>1</v>
      </c>
      <c r="L3" s="2">
        <f>165.319847+51.394617</f>
        <v>216.71446400000002</v>
      </c>
      <c r="M3" t="s">
        <v>23</v>
      </c>
    </row>
    <row r="4" spans="2:13" ht="15.6" x14ac:dyDescent="0.3">
      <c r="B4" s="11" t="s">
        <v>29</v>
      </c>
      <c r="C4" s="12"/>
      <c r="D4" s="12"/>
      <c r="E4" s="12"/>
      <c r="F4" s="12"/>
      <c r="G4" s="12"/>
      <c r="H4" s="12"/>
      <c r="I4" s="13"/>
      <c r="K4" s="1" t="s">
        <v>2</v>
      </c>
      <c r="L4" s="2">
        <f>L3*L2</f>
        <v>1313.28965184</v>
      </c>
    </row>
    <row r="5" spans="2:13" ht="15.6" x14ac:dyDescent="0.3">
      <c r="B5" s="14" t="s">
        <v>30</v>
      </c>
      <c r="I5" s="15"/>
      <c r="K5" s="1" t="s">
        <v>3</v>
      </c>
      <c r="L5" s="2">
        <f>178.992+102.703</f>
        <v>281.69499999999999</v>
      </c>
      <c r="M5" t="s">
        <v>23</v>
      </c>
    </row>
    <row r="6" spans="2:13" ht="15.6" x14ac:dyDescent="0.3">
      <c r="B6" s="14" t="s">
        <v>31</v>
      </c>
      <c r="I6" s="15"/>
      <c r="K6" s="1" t="s">
        <v>4</v>
      </c>
      <c r="L6" s="2">
        <f>7.792+4.955</f>
        <v>12.747</v>
      </c>
      <c r="M6" t="s">
        <v>23</v>
      </c>
    </row>
    <row r="7" spans="2:13" ht="15.6" x14ac:dyDescent="0.3">
      <c r="B7" s="16" t="s">
        <v>32</v>
      </c>
      <c r="C7" s="17"/>
      <c r="D7" s="17"/>
      <c r="E7" s="17"/>
      <c r="F7" s="17"/>
      <c r="G7" s="17"/>
      <c r="H7" s="17"/>
      <c r="I7" s="18"/>
      <c r="K7" s="1" t="s">
        <v>5</v>
      </c>
      <c r="L7" s="2">
        <f>L4-L5+L6</f>
        <v>1044.3416518400002</v>
      </c>
    </row>
    <row r="8" spans="2:13" ht="15.6" x14ac:dyDescent="0.3">
      <c r="B8" s="10"/>
      <c r="K8" s="1" t="s">
        <v>6</v>
      </c>
      <c r="L8" s="2">
        <f>L5-L6</f>
        <v>268.94799999999998</v>
      </c>
    </row>
    <row r="9" spans="2:13" ht="15.6" x14ac:dyDescent="0.3">
      <c r="B9" s="11" t="s">
        <v>33</v>
      </c>
      <c r="C9" s="12"/>
      <c r="D9" s="12"/>
      <c r="E9" s="12"/>
      <c r="F9" s="12"/>
      <c r="G9" s="12"/>
      <c r="H9" s="12"/>
      <c r="I9" s="13"/>
      <c r="K9" s="1"/>
      <c r="L9" s="1"/>
    </row>
    <row r="10" spans="2:13" ht="15.6" x14ac:dyDescent="0.3">
      <c r="B10" s="14" t="s">
        <v>34</v>
      </c>
      <c r="I10" s="15"/>
      <c r="K10" s="1" t="s">
        <v>7</v>
      </c>
      <c r="L10" s="1" t="s">
        <v>28</v>
      </c>
    </row>
    <row r="11" spans="2:13" ht="15.6" x14ac:dyDescent="0.3">
      <c r="B11" s="16" t="s">
        <v>35</v>
      </c>
      <c r="C11" s="17"/>
      <c r="D11" s="17"/>
      <c r="E11" s="17"/>
      <c r="F11" s="17"/>
      <c r="G11" s="17"/>
      <c r="H11" s="17"/>
      <c r="I11" s="18"/>
    </row>
    <row r="13" spans="2:13" ht="15.6" x14ac:dyDescent="0.3">
      <c r="B13" s="11" t="s">
        <v>36</v>
      </c>
      <c r="C13" s="12"/>
      <c r="D13" s="12"/>
      <c r="E13" s="12"/>
      <c r="F13" s="12"/>
      <c r="G13" s="12"/>
      <c r="H13" s="12"/>
      <c r="I13" s="13"/>
    </row>
    <row r="14" spans="2:13" ht="15.6" x14ac:dyDescent="0.3">
      <c r="B14" s="14" t="s">
        <v>37</v>
      </c>
      <c r="I14" s="15"/>
    </row>
    <row r="15" spans="2:13" ht="15.6" x14ac:dyDescent="0.3">
      <c r="B15" s="14" t="s">
        <v>38</v>
      </c>
      <c r="I15" s="15"/>
    </row>
    <row r="16" spans="2:13" ht="15.6" x14ac:dyDescent="0.3">
      <c r="B16" s="14" t="s">
        <v>39</v>
      </c>
      <c r="F16" s="19"/>
      <c r="I16" s="15"/>
    </row>
    <row r="17" spans="2:9" ht="15.6" x14ac:dyDescent="0.3">
      <c r="B17" s="16" t="s">
        <v>40</v>
      </c>
      <c r="C17" s="17"/>
      <c r="D17" s="17"/>
      <c r="E17" s="17"/>
      <c r="F17" s="17"/>
      <c r="G17" s="17"/>
      <c r="H17" s="17"/>
      <c r="I17" s="18"/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EE116"/>
  <sheetViews>
    <sheetView tabSelected="1" zoomScale="130" zoomScaleNormal="130" workbookViewId="0">
      <pane xSplit="1" ySplit="2" topLeftCell="X18" activePane="bottomRight" state="frozen"/>
      <selection pane="topRight" activeCell="C1" sqref="C1"/>
      <selection pane="bottomLeft" activeCell="A3" sqref="A3"/>
      <selection pane="bottomRight" activeCell="AL48" sqref="AL48"/>
    </sheetView>
  </sheetViews>
  <sheetFormatPr defaultRowHeight="14.4" x14ac:dyDescent="0.3"/>
  <cols>
    <col min="1" max="1" width="34.5546875" style="6" customWidth="1"/>
    <col min="11" max="11" width="10.88671875" bestFit="1" customWidth="1"/>
    <col min="14" max="14" width="11.109375" bestFit="1" customWidth="1"/>
    <col min="15" max="15" width="9.109375" customWidth="1"/>
    <col min="16" max="16" width="11" bestFit="1" customWidth="1"/>
    <col min="25" max="25" width="11.5546875" bestFit="1" customWidth="1"/>
    <col min="39" max="39" width="17.33203125" bestFit="1" customWidth="1"/>
    <col min="40" max="40" width="13.109375" bestFit="1" customWidth="1"/>
  </cols>
  <sheetData>
    <row r="1" spans="1:44" s="6" customFormat="1" ht="21" x14ac:dyDescent="0.4">
      <c r="A1" s="7" t="s">
        <v>16</v>
      </c>
    </row>
    <row r="2" spans="1:44" s="9" customFormat="1" x14ac:dyDescent="0.3">
      <c r="C2" s="9" t="s">
        <v>22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14</v>
      </c>
      <c r="I2" s="9" t="s">
        <v>15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8</v>
      </c>
      <c r="O2" s="9" t="s">
        <v>9</v>
      </c>
      <c r="P2" s="9" t="s">
        <v>23</v>
      </c>
      <c r="Q2" s="9" t="s">
        <v>24</v>
      </c>
      <c r="R2" s="9" t="s">
        <v>25</v>
      </c>
      <c r="S2" s="9" t="s">
        <v>26</v>
      </c>
      <c r="U2" s="9">
        <v>2019</v>
      </c>
      <c r="V2" s="9">
        <v>2020</v>
      </c>
      <c r="W2" s="9">
        <v>2021</v>
      </c>
      <c r="X2" s="9">
        <v>2022</v>
      </c>
      <c r="Y2" s="9">
        <v>2023</v>
      </c>
      <c r="Z2" s="9">
        <v>2024</v>
      </c>
      <c r="AA2" s="9">
        <v>2025</v>
      </c>
      <c r="AB2" s="9">
        <v>2026</v>
      </c>
      <c r="AC2" s="9">
        <v>2027</v>
      </c>
      <c r="AD2" s="9">
        <v>2028</v>
      </c>
      <c r="AE2" s="9">
        <v>2029</v>
      </c>
      <c r="AF2" s="9">
        <v>2030</v>
      </c>
      <c r="AG2" s="9">
        <v>2031</v>
      </c>
      <c r="AH2" s="9">
        <v>2032</v>
      </c>
      <c r="AI2" s="9">
        <v>2033</v>
      </c>
      <c r="AJ2" s="9">
        <v>2034</v>
      </c>
      <c r="AK2" s="9">
        <v>2035</v>
      </c>
      <c r="AL2" s="9">
        <v>2036</v>
      </c>
      <c r="AM2" s="9">
        <v>2037</v>
      </c>
      <c r="AN2" s="9">
        <v>2038</v>
      </c>
      <c r="AO2" s="9">
        <v>2039</v>
      </c>
      <c r="AP2" s="9">
        <v>2040</v>
      </c>
      <c r="AQ2" s="9">
        <v>2041</v>
      </c>
      <c r="AR2" s="9">
        <v>2042</v>
      </c>
    </row>
    <row r="3" spans="1:44" s="3" customFormat="1" x14ac:dyDescent="0.3">
      <c r="A3" s="5" t="s">
        <v>41</v>
      </c>
      <c r="H3" s="3">
        <v>62391</v>
      </c>
      <c r="I3" s="3">
        <v>35438</v>
      </c>
      <c r="J3" s="3">
        <v>52420</v>
      </c>
      <c r="K3" s="3">
        <v>102314</v>
      </c>
      <c r="L3" s="3">
        <v>34131</v>
      </c>
      <c r="M3" s="3">
        <v>37284</v>
      </c>
      <c r="N3" s="3">
        <v>49495</v>
      </c>
      <c r="O3" s="3">
        <v>77402</v>
      </c>
      <c r="X3" s="3">
        <f t="shared" ref="X3:X5" si="0">SUM(H3:K3)</f>
        <v>252563</v>
      </c>
      <c r="Y3" s="3">
        <f>SUM(L3:O3)</f>
        <v>198312</v>
      </c>
    </row>
    <row r="4" spans="1:44" s="3" customFormat="1" x14ac:dyDescent="0.3">
      <c r="A4" s="5" t="s">
        <v>42</v>
      </c>
      <c r="H4" s="3">
        <v>64778</v>
      </c>
      <c r="I4" s="3">
        <v>67604</v>
      </c>
      <c r="J4" s="3">
        <v>68865</v>
      </c>
      <c r="K4" s="3">
        <v>71097</v>
      </c>
      <c r="L4" s="3">
        <v>75083</v>
      </c>
      <c r="M4" s="3">
        <v>76129</v>
      </c>
      <c r="N4" s="3">
        <v>76265</v>
      </c>
      <c r="O4" s="3">
        <v>76512</v>
      </c>
      <c r="X4" s="3">
        <f t="shared" si="0"/>
        <v>272344</v>
      </c>
      <c r="Y4" s="3">
        <f t="shared" ref="Y4:Y5" si="1">SUM(L4:O4)</f>
        <v>303989</v>
      </c>
    </row>
    <row r="5" spans="1:44" s="3" customFormat="1" x14ac:dyDescent="0.3">
      <c r="A5" s="5" t="s">
        <v>43</v>
      </c>
      <c r="H5" s="3">
        <v>117614</v>
      </c>
      <c r="I5" s="3">
        <v>80715</v>
      </c>
      <c r="J5" s="3">
        <v>55711</v>
      </c>
      <c r="K5" s="3">
        <v>107349</v>
      </c>
      <c r="L5" s="3">
        <v>72013</v>
      </c>
      <c r="M5" s="3">
        <v>64352</v>
      </c>
      <c r="N5" s="3">
        <v>49149</v>
      </c>
      <c r="O5" s="3">
        <v>77332</v>
      </c>
      <c r="X5" s="3">
        <f t="shared" si="0"/>
        <v>361389</v>
      </c>
      <c r="Y5" s="3">
        <f t="shared" si="1"/>
        <v>262846</v>
      </c>
    </row>
    <row r="6" spans="1:44" s="3" customFormat="1" x14ac:dyDescent="0.3">
      <c r="A6" s="5" t="s">
        <v>108</v>
      </c>
      <c r="P6" s="3">
        <v>78286</v>
      </c>
    </row>
    <row r="7" spans="1:44" s="3" customFormat="1" x14ac:dyDescent="0.3">
      <c r="A7" s="5" t="s">
        <v>109</v>
      </c>
      <c r="P7" s="3">
        <v>89106</v>
      </c>
    </row>
    <row r="8" spans="1:44" s="22" customFormat="1" x14ac:dyDescent="0.3">
      <c r="A8" s="23" t="s">
        <v>44</v>
      </c>
      <c r="H8" s="22">
        <f t="shared" ref="H8:O8" si="2">SUM(H3:H5)</f>
        <v>244783</v>
      </c>
      <c r="I8" s="22">
        <f t="shared" si="2"/>
        <v>183757</v>
      </c>
      <c r="J8" s="22">
        <f t="shared" si="2"/>
        <v>176996</v>
      </c>
      <c r="K8" s="22">
        <f t="shared" si="2"/>
        <v>280760</v>
      </c>
      <c r="L8" s="22">
        <f t="shared" si="2"/>
        <v>181227</v>
      </c>
      <c r="M8" s="22">
        <f t="shared" si="2"/>
        <v>177765</v>
      </c>
      <c r="N8" s="22">
        <f t="shared" si="2"/>
        <v>174909</v>
      </c>
      <c r="O8" s="22">
        <f t="shared" si="2"/>
        <v>231246</v>
      </c>
      <c r="P8" s="22">
        <f>SUM(P6:P7)</f>
        <v>167392</v>
      </c>
      <c r="Q8" s="22">
        <f>M8*0.97</f>
        <v>172432.05</v>
      </c>
      <c r="R8" s="22">
        <f>N8*0.99</f>
        <v>173159.91</v>
      </c>
      <c r="S8" s="22">
        <f>R8*1.3</f>
        <v>225107.883</v>
      </c>
      <c r="X8" s="22">
        <f t="shared" ref="X8" si="3">SUM(X3:X5)</f>
        <v>886296</v>
      </c>
      <c r="Y8" s="22">
        <f t="shared" ref="Y8" si="4">SUM(Y3:Y5)</f>
        <v>765147</v>
      </c>
      <c r="Z8" s="22">
        <f>SUM(P8:S8)</f>
        <v>738091.84299999999</v>
      </c>
      <c r="AA8" s="22">
        <f>Z8*1.042</f>
        <v>769091.70040600002</v>
      </c>
      <c r="AB8" s="22">
        <f>AA8*1.015</f>
        <v>780628.0759120899</v>
      </c>
      <c r="AC8" s="22">
        <f>AB8*1.025</f>
        <v>800143.77780989208</v>
      </c>
      <c r="AD8" s="22">
        <f t="shared" ref="AD8:AE8" si="5">AC8*1.025</f>
        <v>820147.37225513929</v>
      </c>
      <c r="AE8" s="22">
        <f t="shared" si="5"/>
        <v>840651.05656151765</v>
      </c>
      <c r="AF8" s="22">
        <f>AE8*0.95</f>
        <v>798618.5037334417</v>
      </c>
      <c r="AG8" s="22">
        <f>AF8*1.02</f>
        <v>814590.8738081106</v>
      </c>
      <c r="AH8" s="22">
        <f t="shared" ref="AH8:AI8" si="6">AG8*1.02</f>
        <v>830882.69128427282</v>
      </c>
      <c r="AI8" s="22">
        <f t="shared" si="6"/>
        <v>847500.34510995832</v>
      </c>
      <c r="AJ8" s="22">
        <f>AI8*1.025</f>
        <v>868687.85373770725</v>
      </c>
    </row>
    <row r="9" spans="1:44" s="3" customFormat="1" x14ac:dyDescent="0.3">
      <c r="A9" s="5" t="s">
        <v>45</v>
      </c>
      <c r="H9" s="3">
        <v>60713</v>
      </c>
      <c r="I9" s="3">
        <v>34882</v>
      </c>
      <c r="J9" s="3">
        <v>49240</v>
      </c>
      <c r="K9" s="3">
        <v>99425</v>
      </c>
      <c r="L9" s="3">
        <v>33066</v>
      </c>
      <c r="M9" s="3">
        <v>33765</v>
      </c>
      <c r="N9" s="3">
        <v>41613</v>
      </c>
      <c r="O9" s="3">
        <v>64127</v>
      </c>
      <c r="Q9" s="3">
        <f t="shared" ref="Q9:S9" si="7">Q8*0.24</f>
        <v>41383.691999999995</v>
      </c>
      <c r="R9" s="3">
        <f t="shared" si="7"/>
        <v>41558.378400000001</v>
      </c>
      <c r="S9" s="3">
        <f t="shared" si="7"/>
        <v>54025.891920000002</v>
      </c>
      <c r="X9" s="3">
        <f>SUM(H9:K9)</f>
        <v>244260</v>
      </c>
      <c r="Y9" s="3">
        <f t="shared" ref="Y9:Y11" si="8">SUM(L9:O9)</f>
        <v>172571</v>
      </c>
      <c r="Z9" s="3">
        <f>SUM(P9:S9)+P13</f>
        <v>204006.96231999999</v>
      </c>
      <c r="AA9" s="3">
        <f t="shared" ref="AA9" si="9">AA8*0.24</f>
        <v>184582.00809744</v>
      </c>
      <c r="AB9" s="3">
        <f t="shared" ref="AB9" si="10">AB8*0.24</f>
        <v>187350.73821890156</v>
      </c>
      <c r="AC9" s="3">
        <f t="shared" ref="AC9" si="11">AC8*0.24</f>
        <v>192034.5066743741</v>
      </c>
      <c r="AD9" s="3">
        <f t="shared" ref="AD9" si="12">AD8*0.24</f>
        <v>196835.36934123343</v>
      </c>
      <c r="AE9" s="3">
        <f t="shared" ref="AE9" si="13">AE8*0.24</f>
        <v>201756.25357476424</v>
      </c>
      <c r="AF9" s="3">
        <f t="shared" ref="AF9" si="14">AF8*0.24</f>
        <v>191668.440896026</v>
      </c>
      <c r="AG9" s="3">
        <f t="shared" ref="AG9" si="15">AG8*0.24</f>
        <v>195501.80971394654</v>
      </c>
      <c r="AH9" s="3">
        <f t="shared" ref="AH9" si="16">AH8*0.24</f>
        <v>199411.84590822546</v>
      </c>
      <c r="AI9" s="3">
        <f t="shared" ref="AI9" si="17">AI8*0.24</f>
        <v>203400.08282638999</v>
      </c>
      <c r="AJ9" s="3">
        <f t="shared" ref="AJ9" si="18">AJ8*0.24</f>
        <v>208485.08489704973</v>
      </c>
    </row>
    <row r="10" spans="1:44" s="3" customFormat="1" x14ac:dyDescent="0.3">
      <c r="A10" s="5" t="s">
        <v>46</v>
      </c>
      <c r="H10" s="3">
        <v>6252</v>
      </c>
      <c r="I10" s="3">
        <v>6181</v>
      </c>
      <c r="J10" s="3">
        <v>6500</v>
      </c>
      <c r="K10" s="3">
        <v>7442</v>
      </c>
      <c r="L10" s="3">
        <v>7631</v>
      </c>
      <c r="M10" s="3">
        <v>7898</v>
      </c>
      <c r="N10" s="3">
        <v>8166</v>
      </c>
      <c r="O10" s="3">
        <v>8651</v>
      </c>
      <c r="Q10" s="3">
        <f t="shared" ref="Q10:S10" si="19">Q8*0.04</f>
        <v>6897.2819999999992</v>
      </c>
      <c r="R10" s="3">
        <f t="shared" si="19"/>
        <v>6926.3964000000005</v>
      </c>
      <c r="S10" s="3">
        <f t="shared" si="19"/>
        <v>9004.3153199999997</v>
      </c>
      <c r="X10" s="3">
        <f t="shared" ref="X10:X11" si="20">SUM(H10:K10)</f>
        <v>26375</v>
      </c>
      <c r="Y10" s="3">
        <f t="shared" si="8"/>
        <v>32346</v>
      </c>
      <c r="Z10" s="3">
        <f>SUM(P10:S10)+P12</f>
        <v>31586.993719999999</v>
      </c>
      <c r="AA10" s="3">
        <f t="shared" ref="AA10:AJ10" si="21">AA8*0.04</f>
        <v>30763.668016240001</v>
      </c>
      <c r="AB10" s="3">
        <f t="shared" si="21"/>
        <v>31225.123036483597</v>
      </c>
      <c r="AC10" s="3">
        <f t="shared" si="21"/>
        <v>32005.751112395683</v>
      </c>
      <c r="AD10" s="3">
        <f t="shared" si="21"/>
        <v>32805.894890205571</v>
      </c>
      <c r="AE10" s="3">
        <f t="shared" si="21"/>
        <v>33626.042262460709</v>
      </c>
      <c r="AF10" s="3">
        <f t="shared" si="21"/>
        <v>31944.740149337667</v>
      </c>
      <c r="AG10" s="3">
        <f t="shared" si="21"/>
        <v>32583.634952324424</v>
      </c>
      <c r="AH10" s="3">
        <f t="shared" si="21"/>
        <v>33235.307651370917</v>
      </c>
      <c r="AI10" s="3">
        <f t="shared" si="21"/>
        <v>33900.013804398332</v>
      </c>
      <c r="AJ10" s="3">
        <f t="shared" si="21"/>
        <v>34747.514149508293</v>
      </c>
    </row>
    <row r="11" spans="1:44" s="3" customFormat="1" x14ac:dyDescent="0.3">
      <c r="A11" s="5" t="s">
        <v>47</v>
      </c>
      <c r="H11" s="3">
        <v>78798</v>
      </c>
      <c r="I11" s="3">
        <v>57266</v>
      </c>
      <c r="J11" s="3">
        <v>39422</v>
      </c>
      <c r="K11" s="3">
        <v>90282</v>
      </c>
      <c r="L11" s="3">
        <v>63864</v>
      </c>
      <c r="M11" s="3">
        <v>48447</v>
      </c>
      <c r="N11" s="3">
        <v>43196</v>
      </c>
      <c r="O11" s="3">
        <v>61430</v>
      </c>
      <c r="Q11" s="3">
        <f t="shared" ref="Q11:S11" si="22">Q8*0.29</f>
        <v>50005.294499999996</v>
      </c>
      <c r="R11" s="3">
        <f t="shared" si="22"/>
        <v>50216.373899999999</v>
      </c>
      <c r="S11" s="3">
        <f t="shared" si="22"/>
        <v>65281.286069999995</v>
      </c>
      <c r="X11" s="3">
        <f t="shared" si="20"/>
        <v>265768</v>
      </c>
      <c r="Y11" s="3">
        <f t="shared" si="8"/>
        <v>216937</v>
      </c>
      <c r="Z11" s="3">
        <f>SUM(P11:S11)</f>
        <v>165502.95447</v>
      </c>
      <c r="AA11" s="3">
        <f t="shared" ref="AA11:AJ11" si="23">AA8*0.29</f>
        <v>223036.59311773998</v>
      </c>
      <c r="AB11" s="3">
        <f t="shared" si="23"/>
        <v>226382.14201450607</v>
      </c>
      <c r="AC11" s="3">
        <f t="shared" si="23"/>
        <v>232041.69556486869</v>
      </c>
      <c r="AD11" s="3">
        <f t="shared" si="23"/>
        <v>237842.73795399038</v>
      </c>
      <c r="AE11" s="3">
        <f t="shared" si="23"/>
        <v>243788.8064028401</v>
      </c>
      <c r="AF11" s="3">
        <f t="shared" si="23"/>
        <v>231599.36608269808</v>
      </c>
      <c r="AG11" s="3">
        <f t="shared" si="23"/>
        <v>236231.35340435206</v>
      </c>
      <c r="AH11" s="3">
        <f t="shared" si="23"/>
        <v>240955.98047243911</v>
      </c>
      <c r="AI11" s="3">
        <f t="shared" si="23"/>
        <v>245775.10008188788</v>
      </c>
      <c r="AJ11" s="3">
        <f t="shared" si="23"/>
        <v>251919.47758393508</v>
      </c>
    </row>
    <row r="12" spans="1:44" s="3" customFormat="1" x14ac:dyDescent="0.3">
      <c r="A12" s="5" t="s">
        <v>110</v>
      </c>
      <c r="P12" s="3">
        <v>8759</v>
      </c>
    </row>
    <row r="13" spans="1:44" s="3" customFormat="1" x14ac:dyDescent="0.3">
      <c r="A13" s="5" t="s">
        <v>111</v>
      </c>
      <c r="P13" s="3">
        <v>67039</v>
      </c>
    </row>
    <row r="14" spans="1:44" s="3" customFormat="1" x14ac:dyDescent="0.3">
      <c r="A14" s="5" t="s">
        <v>48</v>
      </c>
      <c r="H14" s="3">
        <f t="shared" ref="H14:O14" si="24">SUM(H9:H11)</f>
        <v>145763</v>
      </c>
      <c r="I14" s="3">
        <f t="shared" si="24"/>
        <v>98329</v>
      </c>
      <c r="J14" s="3">
        <f t="shared" si="24"/>
        <v>95162</v>
      </c>
      <c r="K14" s="3">
        <f t="shared" si="24"/>
        <v>197149</v>
      </c>
      <c r="L14" s="3">
        <f t="shared" si="24"/>
        <v>104561</v>
      </c>
      <c r="M14" s="3">
        <f t="shared" si="24"/>
        <v>90110</v>
      </c>
      <c r="N14" s="3">
        <f t="shared" si="24"/>
        <v>92975</v>
      </c>
      <c r="O14" s="3">
        <f t="shared" si="24"/>
        <v>134208</v>
      </c>
      <c r="P14" s="3">
        <f>SUM(P12:P13)</f>
        <v>75798</v>
      </c>
      <c r="Q14" s="3">
        <f t="shared" ref="Q14" si="25">SUM(Q9:Q11)</f>
        <v>98286.268499999991</v>
      </c>
      <c r="R14" s="3">
        <f t="shared" ref="R14" si="26">SUM(R9:R11)</f>
        <v>98701.148699999991</v>
      </c>
      <c r="S14" s="3">
        <f t="shared" ref="S14" si="27">SUM(S9:S11)</f>
        <v>128311.49330999999</v>
      </c>
      <c r="X14" s="3">
        <f t="shared" ref="X14" si="28">SUM(X9:X11)</f>
        <v>536403</v>
      </c>
      <c r="Y14" s="3">
        <f t="shared" ref="Y14" si="29">SUM(Y9:Y11)</f>
        <v>421854</v>
      </c>
      <c r="Z14" s="3">
        <f t="shared" ref="Z14" si="30">SUM(Z9:Z11)</f>
        <v>401096.91050999996</v>
      </c>
      <c r="AA14" s="3">
        <f t="shared" ref="AA14" si="31">SUM(AA9:AA11)</f>
        <v>438382.26923142001</v>
      </c>
      <c r="AB14" s="3">
        <f t="shared" ref="AB14" si="32">SUM(AB9:AB11)</f>
        <v>444958.00326989125</v>
      </c>
      <c r="AC14" s="3">
        <f t="shared" ref="AC14" si="33">SUM(AC9:AC11)</f>
        <v>456081.95335163851</v>
      </c>
      <c r="AD14" s="3">
        <f t="shared" ref="AD14" si="34">SUM(AD9:AD11)</f>
        <v>467484.00218542933</v>
      </c>
      <c r="AE14" s="3">
        <f t="shared" ref="AE14" si="35">SUM(AE9:AE11)</f>
        <v>479171.10224006505</v>
      </c>
      <c r="AF14" s="3">
        <f t="shared" ref="AF14" si="36">SUM(AF9:AF11)</f>
        <v>455212.54712806176</v>
      </c>
      <c r="AG14" s="3">
        <f t="shared" ref="AG14" si="37">SUM(AG9:AG11)</f>
        <v>464316.79807062302</v>
      </c>
      <c r="AH14" s="3">
        <f t="shared" ref="AH14" si="38">SUM(AH9:AH11)</f>
        <v>473603.13403203548</v>
      </c>
      <c r="AI14" s="3">
        <f t="shared" ref="AI14" si="39">SUM(AI9:AI11)</f>
        <v>483075.1967126762</v>
      </c>
      <c r="AJ14" s="3">
        <f t="shared" ref="AJ14" si="40">SUM(AJ9:AJ11)</f>
        <v>495152.0766304931</v>
      </c>
    </row>
    <row r="15" spans="1:44" s="22" customFormat="1" x14ac:dyDescent="0.3">
      <c r="A15" s="23" t="s">
        <v>49</v>
      </c>
      <c r="H15" s="22">
        <f t="shared" ref="H15:O15" si="41">H8-H14</f>
        <v>99020</v>
      </c>
      <c r="I15" s="22">
        <f t="shared" si="41"/>
        <v>85428</v>
      </c>
      <c r="J15" s="22">
        <f t="shared" si="41"/>
        <v>81834</v>
      </c>
      <c r="K15" s="22">
        <f t="shared" si="41"/>
        <v>83611</v>
      </c>
      <c r="L15" s="22">
        <f t="shared" si="41"/>
        <v>76666</v>
      </c>
      <c r="M15" s="22">
        <f t="shared" si="41"/>
        <v>87655</v>
      </c>
      <c r="N15" s="22">
        <f t="shared" si="41"/>
        <v>81934</v>
      </c>
      <c r="O15" s="22">
        <f t="shared" si="41"/>
        <v>97038</v>
      </c>
      <c r="P15" s="22">
        <f t="shared" ref="P15" si="42">P8-P14</f>
        <v>91594</v>
      </c>
      <c r="Q15" s="22">
        <f t="shared" ref="Q15" si="43">Q8-Q14</f>
        <v>74145.781499999997</v>
      </c>
      <c r="R15" s="22">
        <f t="shared" ref="R15" si="44">R8-R14</f>
        <v>74458.761300000013</v>
      </c>
      <c r="S15" s="22">
        <f t="shared" ref="S15" si="45">S8-S14</f>
        <v>96796.389690000011</v>
      </c>
      <c r="X15" s="22">
        <f t="shared" ref="X15" si="46">X8-X14</f>
        <v>349893</v>
      </c>
      <c r="Y15" s="22">
        <f t="shared" ref="Y15" si="47">Y8-Y14</f>
        <v>343293</v>
      </c>
      <c r="Z15" s="22">
        <f t="shared" ref="Z15" si="48">Z8-Z14</f>
        <v>336994.93249000004</v>
      </c>
      <c r="AA15" s="22">
        <f t="shared" ref="AA15" si="49">AA8-AA14</f>
        <v>330709.43117458001</v>
      </c>
      <c r="AB15" s="22">
        <f t="shared" ref="AB15" si="50">AB8-AB14</f>
        <v>335670.07264219865</v>
      </c>
      <c r="AC15" s="22">
        <f t="shared" ref="AC15" si="51">AC8-AC14</f>
        <v>344061.82445825357</v>
      </c>
      <c r="AD15" s="22">
        <f t="shared" ref="AD15" si="52">AD8-AD14</f>
        <v>352663.37006970996</v>
      </c>
      <c r="AE15" s="22">
        <f t="shared" ref="AE15" si="53">AE8-AE14</f>
        <v>361479.95432145259</v>
      </c>
      <c r="AF15" s="22">
        <f t="shared" ref="AF15" si="54">AF8-AF14</f>
        <v>343405.95660537994</v>
      </c>
      <c r="AG15" s="22">
        <f t="shared" ref="AG15" si="55">AG8-AG14</f>
        <v>350274.07573748758</v>
      </c>
      <c r="AH15" s="22">
        <f t="shared" ref="AH15" si="56">AH8-AH14</f>
        <v>357279.55725223734</v>
      </c>
      <c r="AI15" s="22">
        <f t="shared" ref="AI15" si="57">AI8-AI14</f>
        <v>364425.14839728212</v>
      </c>
      <c r="AJ15" s="22">
        <f t="shared" ref="AJ15" si="58">AJ8-AJ14</f>
        <v>373535.77710721415</v>
      </c>
    </row>
    <row r="16" spans="1:44" s="3" customFormat="1" x14ac:dyDescent="0.3">
      <c r="A16" s="5" t="s">
        <v>51</v>
      </c>
      <c r="H16" s="3">
        <v>20530</v>
      </c>
      <c r="I16" s="3">
        <v>20055</v>
      </c>
      <c r="J16" s="3">
        <v>18747</v>
      </c>
      <c r="K16" s="3">
        <v>17582</v>
      </c>
      <c r="L16" s="3">
        <v>17801</v>
      </c>
      <c r="M16" s="3">
        <v>16346</v>
      </c>
      <c r="N16" s="3">
        <v>15910</v>
      </c>
      <c r="O16" s="3">
        <v>14991</v>
      </c>
      <c r="P16" s="3">
        <v>14853</v>
      </c>
      <c r="Q16" s="3">
        <f t="shared" ref="Q16:S16" si="59">Q8*0.09</f>
        <v>15518.884499999998</v>
      </c>
      <c r="R16" s="3">
        <f t="shared" si="59"/>
        <v>15584.391900000001</v>
      </c>
      <c r="S16" s="3">
        <f t="shared" si="59"/>
        <v>20259.709469999998</v>
      </c>
      <c r="X16" s="3">
        <f t="shared" ref="X16:X18" si="60">SUM(H16:K16)</f>
        <v>76914</v>
      </c>
      <c r="Y16" s="3">
        <f t="shared" ref="Y16:Y18" si="61">SUM(L16:O16)</f>
        <v>65048</v>
      </c>
      <c r="Z16" s="3">
        <f t="shared" ref="Z16:Z18" si="62">SUM(P16:S16)</f>
        <v>66215.985870000004</v>
      </c>
      <c r="AA16" s="3">
        <f t="shared" ref="AA16:AJ16" si="63">AA8*0.09</f>
        <v>69218.253036540002</v>
      </c>
      <c r="AB16" s="3">
        <f t="shared" si="63"/>
        <v>70256.526832088086</v>
      </c>
      <c r="AC16" s="3">
        <f t="shared" si="63"/>
        <v>72012.940002890289</v>
      </c>
      <c r="AD16" s="3">
        <f t="shared" si="63"/>
        <v>73813.263502962538</v>
      </c>
      <c r="AE16" s="3">
        <f t="shared" si="63"/>
        <v>75658.59509053659</v>
      </c>
      <c r="AF16" s="3">
        <f t="shared" si="63"/>
        <v>71875.665336009755</v>
      </c>
      <c r="AG16" s="3">
        <f t="shared" si="63"/>
        <v>73313.178642729952</v>
      </c>
      <c r="AH16" s="3">
        <f t="shared" si="63"/>
        <v>74779.442215584553</v>
      </c>
      <c r="AI16" s="3">
        <f t="shared" si="63"/>
        <v>76275.031059896239</v>
      </c>
      <c r="AJ16" s="3">
        <f t="shared" si="63"/>
        <v>78181.906836393653</v>
      </c>
    </row>
    <row r="17" spans="1:135" s="3" customFormat="1" x14ac:dyDescent="0.3">
      <c r="A17" s="5" t="s">
        <v>52</v>
      </c>
      <c r="H17" s="3">
        <v>32789</v>
      </c>
      <c r="I17" s="3">
        <v>31516</v>
      </c>
      <c r="J17" s="3">
        <v>29165</v>
      </c>
      <c r="K17" s="3">
        <v>36909</v>
      </c>
      <c r="L17" s="3">
        <v>29616</v>
      </c>
      <c r="M17" s="3">
        <v>29407</v>
      </c>
      <c r="N17" s="3">
        <v>28375</v>
      </c>
      <c r="O17" s="3">
        <v>35771</v>
      </c>
      <c r="P17" s="3">
        <v>33030</v>
      </c>
      <c r="Q17" s="3">
        <f t="shared" ref="Q17:S17" si="64">Q8*0.16</f>
        <v>27589.127999999997</v>
      </c>
      <c r="R17" s="3">
        <f t="shared" si="64"/>
        <v>27705.585600000002</v>
      </c>
      <c r="S17" s="3">
        <f t="shared" si="64"/>
        <v>36017.261279999999</v>
      </c>
      <c r="X17" s="3">
        <f t="shared" si="60"/>
        <v>130379</v>
      </c>
      <c r="Y17" s="3">
        <f t="shared" si="61"/>
        <v>123169</v>
      </c>
      <c r="Z17" s="3">
        <f t="shared" si="62"/>
        <v>124341.97487999999</v>
      </c>
      <c r="AA17" s="3">
        <f t="shared" ref="AA17:AJ17" si="65">AA8*0.16</f>
        <v>123054.67206496</v>
      </c>
      <c r="AB17" s="3">
        <f t="shared" si="65"/>
        <v>124900.49214593439</v>
      </c>
      <c r="AC17" s="3">
        <f t="shared" si="65"/>
        <v>128023.00444958273</v>
      </c>
      <c r="AD17" s="3">
        <f t="shared" si="65"/>
        <v>131223.57956082228</v>
      </c>
      <c r="AE17" s="3">
        <f t="shared" si="65"/>
        <v>134504.16904984284</v>
      </c>
      <c r="AF17" s="3">
        <f t="shared" si="65"/>
        <v>127778.96059735067</v>
      </c>
      <c r="AG17" s="3">
        <f t="shared" si="65"/>
        <v>130334.5398092977</v>
      </c>
      <c r="AH17" s="3">
        <f t="shared" si="65"/>
        <v>132941.23060548367</v>
      </c>
      <c r="AI17" s="3">
        <f t="shared" si="65"/>
        <v>135600.05521759333</v>
      </c>
      <c r="AJ17" s="3">
        <f t="shared" si="65"/>
        <v>138990.05659803317</v>
      </c>
    </row>
    <row r="18" spans="1:135" s="3" customFormat="1" x14ac:dyDescent="0.3">
      <c r="A18" s="5" t="s">
        <v>53</v>
      </c>
      <c r="H18" s="3">
        <v>14294</v>
      </c>
      <c r="I18" s="3">
        <v>13828</v>
      </c>
      <c r="J18" s="3">
        <v>16501</v>
      </c>
      <c r="K18" s="3">
        <v>18024</v>
      </c>
      <c r="L18" s="3">
        <v>18720</v>
      </c>
      <c r="M18" s="3">
        <v>22652</v>
      </c>
      <c r="N18" s="3">
        <v>13962</v>
      </c>
      <c r="O18" s="3">
        <v>29757</v>
      </c>
      <c r="P18" s="3">
        <v>18506</v>
      </c>
      <c r="Q18" s="3">
        <f t="shared" ref="Q18:S18" si="66">Q8*0.09</f>
        <v>15518.884499999998</v>
      </c>
      <c r="R18" s="3">
        <f t="shared" si="66"/>
        <v>15584.391900000001</v>
      </c>
      <c r="S18" s="3">
        <f t="shared" si="66"/>
        <v>20259.709469999998</v>
      </c>
      <c r="X18" s="3">
        <f t="shared" si="60"/>
        <v>62647</v>
      </c>
      <c r="Y18" s="3">
        <f t="shared" si="61"/>
        <v>85091</v>
      </c>
      <c r="Z18" s="3">
        <f t="shared" si="62"/>
        <v>69868.985870000004</v>
      </c>
      <c r="AA18" s="3">
        <f t="shared" ref="AA18:AJ18" si="67">AA8*0.09</f>
        <v>69218.253036540002</v>
      </c>
      <c r="AB18" s="3">
        <f t="shared" si="67"/>
        <v>70256.526832088086</v>
      </c>
      <c r="AC18" s="3">
        <f t="shared" si="67"/>
        <v>72012.940002890289</v>
      </c>
      <c r="AD18" s="3">
        <f t="shared" si="67"/>
        <v>73813.263502962538</v>
      </c>
      <c r="AE18" s="3">
        <f t="shared" si="67"/>
        <v>75658.59509053659</v>
      </c>
      <c r="AF18" s="3">
        <f t="shared" si="67"/>
        <v>71875.665336009755</v>
      </c>
      <c r="AG18" s="3">
        <f t="shared" si="67"/>
        <v>73313.178642729952</v>
      </c>
      <c r="AH18" s="3">
        <f t="shared" si="67"/>
        <v>74779.442215584553</v>
      </c>
      <c r="AI18" s="3">
        <f t="shared" si="67"/>
        <v>76275.031059896239</v>
      </c>
      <c r="AJ18" s="3">
        <f t="shared" si="67"/>
        <v>78181.906836393653</v>
      </c>
    </row>
    <row r="19" spans="1:135" s="3" customFormat="1" x14ac:dyDescent="0.3">
      <c r="A19" s="5" t="s">
        <v>50</v>
      </c>
      <c r="H19" s="3">
        <f t="shared" ref="H19:O19" si="68">SUM(H16:H18)</f>
        <v>67613</v>
      </c>
      <c r="I19" s="3">
        <f t="shared" si="68"/>
        <v>65399</v>
      </c>
      <c r="J19" s="3">
        <f t="shared" si="68"/>
        <v>64413</v>
      </c>
      <c r="K19" s="3">
        <f t="shared" si="68"/>
        <v>72515</v>
      </c>
      <c r="L19" s="3">
        <f t="shared" si="68"/>
        <v>66137</v>
      </c>
      <c r="M19" s="3">
        <f t="shared" si="68"/>
        <v>68405</v>
      </c>
      <c r="N19" s="3">
        <f t="shared" si="68"/>
        <v>58247</v>
      </c>
      <c r="O19" s="3">
        <f t="shared" si="68"/>
        <v>80519</v>
      </c>
      <c r="P19" s="3">
        <f t="shared" ref="P19" si="69">SUM(P16:P18)</f>
        <v>66389</v>
      </c>
      <c r="Q19" s="3">
        <f t="shared" ref="Q19" si="70">SUM(Q16:Q18)</f>
        <v>58626.896999999997</v>
      </c>
      <c r="R19" s="3">
        <f t="shared" ref="R19" si="71">SUM(R16:R18)</f>
        <v>58874.369400000003</v>
      </c>
      <c r="S19" s="3">
        <f t="shared" ref="S19" si="72">SUM(S16:S18)</f>
        <v>76536.680219999995</v>
      </c>
      <c r="X19" s="3">
        <f t="shared" ref="X19" si="73">SUM(X16:X18)</f>
        <v>269940</v>
      </c>
      <c r="Y19" s="3">
        <f t="shared" ref="Y19" si="74">SUM(Y16:Y18)</f>
        <v>273308</v>
      </c>
      <c r="Z19" s="3">
        <f t="shared" ref="Z19" si="75">SUM(Z16:Z18)</f>
        <v>260426.94662</v>
      </c>
      <c r="AA19" s="3">
        <f t="shared" ref="AA19" si="76">SUM(AA16:AA18)</f>
        <v>261491.17813804001</v>
      </c>
      <c r="AB19" s="3">
        <f t="shared" ref="AB19" si="77">SUM(AB16:AB18)</f>
        <v>265413.54581011058</v>
      </c>
      <c r="AC19" s="3">
        <f t="shared" ref="AC19" si="78">SUM(AC16:AC18)</f>
        <v>272048.88445536332</v>
      </c>
      <c r="AD19" s="3">
        <f t="shared" ref="AD19" si="79">SUM(AD16:AD18)</f>
        <v>278850.10656674736</v>
      </c>
      <c r="AE19" s="3">
        <f t="shared" ref="AE19" si="80">SUM(AE16:AE18)</f>
        <v>285821.35923091602</v>
      </c>
      <c r="AF19" s="3">
        <f t="shared" ref="AF19" si="81">SUM(AF16:AF18)</f>
        <v>271530.29126937018</v>
      </c>
      <c r="AG19" s="3">
        <f t="shared" ref="AG19" si="82">SUM(AG16:AG18)</f>
        <v>276960.89709475759</v>
      </c>
      <c r="AH19" s="3">
        <f t="shared" ref="AH19" si="83">SUM(AH16:AH18)</f>
        <v>282500.11503665277</v>
      </c>
      <c r="AI19" s="3">
        <f t="shared" ref="AI19" si="84">SUM(AI16:AI18)</f>
        <v>288150.11733738577</v>
      </c>
      <c r="AJ19" s="3">
        <f t="shared" ref="AJ19" si="85">SUM(AJ16:AJ18)</f>
        <v>295353.87027082045</v>
      </c>
    </row>
    <row r="20" spans="1:135" s="22" customFormat="1" x14ac:dyDescent="0.3">
      <c r="A20" s="23" t="s">
        <v>65</v>
      </c>
      <c r="H20" s="22">
        <f t="shared" ref="H20:O20" si="86">H15-H19</f>
        <v>31407</v>
      </c>
      <c r="I20" s="22">
        <f t="shared" si="86"/>
        <v>20029</v>
      </c>
      <c r="J20" s="22">
        <f t="shared" si="86"/>
        <v>17421</v>
      </c>
      <c r="K20" s="22">
        <f t="shared" si="86"/>
        <v>11096</v>
      </c>
      <c r="L20" s="22">
        <f t="shared" si="86"/>
        <v>10529</v>
      </c>
      <c r="M20" s="22">
        <f t="shared" si="86"/>
        <v>19250</v>
      </c>
      <c r="N20" s="22">
        <f t="shared" si="86"/>
        <v>23687</v>
      </c>
      <c r="O20" s="22">
        <f t="shared" si="86"/>
        <v>16519</v>
      </c>
      <c r="P20" s="22">
        <f t="shared" ref="P20" si="87">P15-P19</f>
        <v>25205</v>
      </c>
      <c r="Q20" s="22">
        <f t="shared" ref="Q20" si="88">Q15-Q19</f>
        <v>15518.8845</v>
      </c>
      <c r="R20" s="22">
        <f t="shared" ref="R20" si="89">R15-R19</f>
        <v>15584.39190000001</v>
      </c>
      <c r="S20" s="22">
        <f t="shared" ref="S20" si="90">S15-S19</f>
        <v>20259.709470000016</v>
      </c>
      <c r="X20" s="22">
        <f t="shared" ref="X20" si="91">X15-X19</f>
        <v>79953</v>
      </c>
      <c r="Y20" s="22">
        <f t="shared" ref="Y20" si="92">Y15-Y19</f>
        <v>69985</v>
      </c>
      <c r="Z20" s="22">
        <f t="shared" ref="Z20" si="93">Z15-Z19</f>
        <v>76567.985870000033</v>
      </c>
      <c r="AA20" s="22">
        <f t="shared" ref="AA20" si="94">AA15-AA19</f>
        <v>69218.253036540002</v>
      </c>
      <c r="AB20" s="22">
        <f t="shared" ref="AB20" si="95">AB15-AB19</f>
        <v>70256.526832088071</v>
      </c>
      <c r="AC20" s="22">
        <f t="shared" ref="AC20" si="96">AC15-AC19</f>
        <v>72012.940002890246</v>
      </c>
      <c r="AD20" s="22">
        <f t="shared" ref="AD20" si="97">AD15-AD19</f>
        <v>73813.263502962596</v>
      </c>
      <c r="AE20" s="22">
        <f t="shared" ref="AE20" si="98">AE15-AE19</f>
        <v>75658.595090536575</v>
      </c>
      <c r="AF20" s="22">
        <f t="shared" ref="AF20" si="99">AF15-AF19</f>
        <v>71875.665336009755</v>
      </c>
      <c r="AG20" s="22">
        <f t="shared" ref="AG20" si="100">AG15-AG19</f>
        <v>73313.178642729996</v>
      </c>
      <c r="AH20" s="22">
        <f t="shared" ref="AH20" si="101">AH15-AH19</f>
        <v>74779.442215584568</v>
      </c>
      <c r="AI20" s="22">
        <f t="shared" ref="AI20" si="102">AI15-AI19</f>
        <v>76275.031059896341</v>
      </c>
      <c r="AJ20" s="22">
        <f t="shared" ref="AJ20" si="103">AJ15-AJ19</f>
        <v>78181.906836393697</v>
      </c>
    </row>
    <row r="21" spans="1:135" s="3" customFormat="1" x14ac:dyDescent="0.3">
      <c r="A21" s="5" t="s">
        <v>54</v>
      </c>
      <c r="K21" s="3">
        <v>933</v>
      </c>
      <c r="O21" s="3">
        <v>1756</v>
      </c>
      <c r="P21" s="3">
        <v>2418</v>
      </c>
      <c r="X21" s="3">
        <f>SUM(H21:K21)</f>
        <v>933</v>
      </c>
      <c r="Y21" s="3">
        <f>SUM(L21:O21)</f>
        <v>1756</v>
      </c>
    </row>
    <row r="22" spans="1:135" s="3" customFormat="1" x14ac:dyDescent="0.3">
      <c r="A22" s="5" t="s">
        <v>55</v>
      </c>
      <c r="K22" s="3">
        <v>-81</v>
      </c>
      <c r="O22" s="3">
        <v>-82</v>
      </c>
      <c r="P22" s="3">
        <v>-81</v>
      </c>
      <c r="X22" s="3">
        <f>SUM(H22:K22)</f>
        <v>-81</v>
      </c>
      <c r="Y22" s="3">
        <f>SUM(L22:O22)</f>
        <v>-82</v>
      </c>
    </row>
    <row r="23" spans="1:135" s="3" customFormat="1" x14ac:dyDescent="0.3">
      <c r="A23" s="5" t="s">
        <v>56</v>
      </c>
      <c r="H23" s="3">
        <v>-39</v>
      </c>
      <c r="I23" s="3">
        <v>322</v>
      </c>
      <c r="J23" s="3">
        <v>235</v>
      </c>
      <c r="K23" s="3">
        <v>658</v>
      </c>
      <c r="L23" s="3">
        <v>2315</v>
      </c>
      <c r="M23" s="3">
        <v>3691</v>
      </c>
      <c r="N23" s="3">
        <v>1828</v>
      </c>
      <c r="O23" s="3">
        <v>290</v>
      </c>
      <c r="P23" s="3">
        <v>748</v>
      </c>
      <c r="Q23" s="3">
        <f t="shared" ref="Q23:S23" si="104">Q20*0.1</f>
        <v>1551.8884500000001</v>
      </c>
      <c r="R23" s="3">
        <f t="shared" si="104"/>
        <v>1558.439190000001</v>
      </c>
      <c r="S23" s="3">
        <f t="shared" si="104"/>
        <v>2025.9709470000016</v>
      </c>
      <c r="X23" s="3">
        <f>SUM(H23:K23)</f>
        <v>1176</v>
      </c>
      <c r="Y23" s="3">
        <f>SUM(L23:O23)</f>
        <v>8124</v>
      </c>
      <c r="Z23" s="3">
        <f>SUM(P23:S23)</f>
        <v>5884.298587000003</v>
      </c>
      <c r="AA23" s="3">
        <f t="shared" ref="AA23:AJ23" si="105">AA20*0.1</f>
        <v>6921.8253036540009</v>
      </c>
      <c r="AB23" s="3">
        <f t="shared" si="105"/>
        <v>7025.6526832088075</v>
      </c>
      <c r="AC23" s="3">
        <f t="shared" si="105"/>
        <v>7201.2940002890246</v>
      </c>
      <c r="AD23" s="3">
        <f t="shared" si="105"/>
        <v>7381.32635029626</v>
      </c>
      <c r="AE23" s="3">
        <f t="shared" si="105"/>
        <v>7565.8595090536583</v>
      </c>
      <c r="AF23" s="3">
        <f t="shared" si="105"/>
        <v>7187.5665336009761</v>
      </c>
      <c r="AG23" s="3">
        <f t="shared" si="105"/>
        <v>7331.3178642729999</v>
      </c>
      <c r="AH23" s="3">
        <f t="shared" si="105"/>
        <v>7477.9442215584568</v>
      </c>
      <c r="AI23" s="3">
        <f t="shared" si="105"/>
        <v>7627.5031059896346</v>
      </c>
      <c r="AJ23" s="3">
        <f t="shared" si="105"/>
        <v>7818.19068363937</v>
      </c>
    </row>
    <row r="24" spans="1:135" s="3" customFormat="1" x14ac:dyDescent="0.3">
      <c r="A24" s="5" t="s">
        <v>57</v>
      </c>
      <c r="H24" s="3">
        <f t="shared" ref="H24:O24" si="106">SUM(H21:H23)</f>
        <v>-39</v>
      </c>
      <c r="I24" s="3">
        <f t="shared" si="106"/>
        <v>322</v>
      </c>
      <c r="J24" s="3">
        <f t="shared" si="106"/>
        <v>235</v>
      </c>
      <c r="K24" s="3">
        <f t="shared" si="106"/>
        <v>1510</v>
      </c>
      <c r="L24" s="3">
        <f t="shared" si="106"/>
        <v>2315</v>
      </c>
      <c r="M24" s="3">
        <f t="shared" si="106"/>
        <v>3691</v>
      </c>
      <c r="N24" s="3">
        <f t="shared" si="106"/>
        <v>1828</v>
      </c>
      <c r="O24" s="3">
        <f t="shared" si="106"/>
        <v>1964</v>
      </c>
      <c r="P24" s="3">
        <f t="shared" ref="P24" si="107">SUM(P21:P23)</f>
        <v>3085</v>
      </c>
      <c r="Q24" s="3">
        <f t="shared" ref="Q24" si="108">SUM(Q21:Q23)</f>
        <v>1551.8884500000001</v>
      </c>
      <c r="R24" s="3">
        <f t="shared" ref="R24" si="109">SUM(R21:R23)</f>
        <v>1558.439190000001</v>
      </c>
      <c r="S24" s="3">
        <f t="shared" ref="S24" si="110">SUM(S21:S23)</f>
        <v>2025.9709470000016</v>
      </c>
      <c r="X24" s="3">
        <f t="shared" ref="X24" si="111">SUM(X21:X23)</f>
        <v>2028</v>
      </c>
      <c r="Y24" s="3">
        <f t="shared" ref="Y24" si="112">SUM(Y21:Y23)</f>
        <v>9798</v>
      </c>
      <c r="Z24" s="3">
        <f t="shared" ref="Z24" si="113">SUM(Z21:Z23)</f>
        <v>5884.298587000003</v>
      </c>
      <c r="AA24" s="3">
        <f t="shared" ref="AA24" si="114">SUM(AA21:AA23)</f>
        <v>6921.8253036540009</v>
      </c>
      <c r="AB24" s="3">
        <f t="shared" ref="AB24" si="115">SUM(AB21:AB23)</f>
        <v>7025.6526832088075</v>
      </c>
      <c r="AC24" s="3">
        <f t="shared" ref="AC24" si="116">SUM(AC21:AC23)</f>
        <v>7201.2940002890246</v>
      </c>
      <c r="AD24" s="3">
        <f t="shared" ref="AD24" si="117">SUM(AD21:AD23)</f>
        <v>7381.32635029626</v>
      </c>
      <c r="AE24" s="3">
        <f t="shared" ref="AE24" si="118">SUM(AE21:AE23)</f>
        <v>7565.8595090536583</v>
      </c>
      <c r="AF24" s="3">
        <f t="shared" ref="AF24" si="119">SUM(AF21:AF23)</f>
        <v>7187.5665336009761</v>
      </c>
      <c r="AG24" s="3">
        <f t="shared" ref="AG24" si="120">SUM(AG21:AG23)</f>
        <v>7331.3178642729999</v>
      </c>
      <c r="AH24" s="3">
        <f t="shared" ref="AH24" si="121">SUM(AH21:AH23)</f>
        <v>7477.9442215584568</v>
      </c>
      <c r="AI24" s="3">
        <f t="shared" ref="AI24" si="122">SUM(AI21:AI23)</f>
        <v>7627.5031059896346</v>
      </c>
      <c r="AJ24" s="3">
        <f t="shared" ref="AJ24" si="123">SUM(AJ21:AJ23)</f>
        <v>7818.19068363937</v>
      </c>
    </row>
    <row r="25" spans="1:135" s="27" customFormat="1" x14ac:dyDescent="0.3">
      <c r="A25" s="45" t="s">
        <v>58</v>
      </c>
      <c r="H25" s="27">
        <f t="shared" ref="H25:P25" si="124">H20+H24</f>
        <v>31368</v>
      </c>
      <c r="I25" s="27">
        <f t="shared" si="124"/>
        <v>20351</v>
      </c>
      <c r="J25" s="27">
        <f t="shared" si="124"/>
        <v>17656</v>
      </c>
      <c r="K25" s="27">
        <f t="shared" si="124"/>
        <v>12606</v>
      </c>
      <c r="L25" s="27">
        <f t="shared" si="124"/>
        <v>12844</v>
      </c>
      <c r="M25" s="27">
        <f t="shared" si="124"/>
        <v>22941</v>
      </c>
      <c r="N25" s="27">
        <f t="shared" si="124"/>
        <v>25515</v>
      </c>
      <c r="O25" s="27">
        <f t="shared" si="124"/>
        <v>18483</v>
      </c>
      <c r="P25" s="27">
        <f t="shared" si="124"/>
        <v>28290</v>
      </c>
      <c r="Q25" s="27">
        <f t="shared" ref="Q25" si="125">Q20+Q24</f>
        <v>17070.772949999999</v>
      </c>
      <c r="R25" s="27">
        <f t="shared" ref="R25" si="126">R20+R24</f>
        <v>17142.831090000011</v>
      </c>
      <c r="S25" s="27">
        <f t="shared" ref="S25" si="127">S20+S24</f>
        <v>22285.680417000018</v>
      </c>
      <c r="X25" s="27">
        <f t="shared" ref="X25" si="128">X20+X24</f>
        <v>81981</v>
      </c>
      <c r="Y25" s="27">
        <f t="shared" ref="Y25" si="129">Y20+Y24</f>
        <v>79783</v>
      </c>
      <c r="Z25" s="27">
        <f t="shared" ref="Z25" si="130">Z20+Z24</f>
        <v>82452.284457000031</v>
      </c>
      <c r="AA25" s="27">
        <f t="shared" ref="AA25" si="131">AA20+AA24</f>
        <v>76140.078340193999</v>
      </c>
      <c r="AB25" s="27">
        <f t="shared" ref="AB25" si="132">AB20+AB24</f>
        <v>77282.179515296884</v>
      </c>
      <c r="AC25" s="27">
        <f t="shared" ref="AC25" si="133">AC20+AC24</f>
        <v>79214.23400317927</v>
      </c>
      <c r="AD25" s="27">
        <f t="shared" ref="AD25" si="134">AD20+AD24</f>
        <v>81194.589853258862</v>
      </c>
      <c r="AE25" s="27">
        <f t="shared" ref="AE25" si="135">AE20+AE24</f>
        <v>83224.45459959023</v>
      </c>
      <c r="AF25" s="27">
        <f t="shared" ref="AF25" si="136">AF20+AF24</f>
        <v>79063.231869610725</v>
      </c>
      <c r="AG25" s="27">
        <f t="shared" ref="AG25" si="137">AG20+AG24</f>
        <v>80644.496507003001</v>
      </c>
      <c r="AH25" s="27">
        <f t="shared" ref="AH25" si="138">AH20+AH24</f>
        <v>82257.386437143025</v>
      </c>
      <c r="AI25" s="27">
        <f t="shared" ref="AI25" si="139">AI20+AI24</f>
        <v>83902.534165885969</v>
      </c>
      <c r="AJ25" s="27">
        <f t="shared" ref="AJ25" si="140">AJ20+AJ24</f>
        <v>86000.097520033072</v>
      </c>
    </row>
    <row r="26" spans="1:135" s="3" customFormat="1" x14ac:dyDescent="0.3">
      <c r="A26" s="5" t="s">
        <v>66</v>
      </c>
      <c r="H26" s="3">
        <v>7864</v>
      </c>
      <c r="I26" s="3">
        <v>6524</v>
      </c>
      <c r="J26" s="3">
        <v>5212</v>
      </c>
      <c r="K26" s="3">
        <v>1715</v>
      </c>
      <c r="L26" s="3">
        <v>3745</v>
      </c>
      <c r="M26" s="3">
        <v>6917</v>
      </c>
      <c r="N26" s="3">
        <v>8290</v>
      </c>
      <c r="O26" s="3">
        <v>7195</v>
      </c>
      <c r="P26" s="3">
        <v>8643</v>
      </c>
      <c r="Q26" s="3">
        <f t="shared" ref="Q26:S26" si="141">Q25*0.29</f>
        <v>4950.5241554999993</v>
      </c>
      <c r="R26" s="3">
        <f t="shared" si="141"/>
        <v>4971.4210161000028</v>
      </c>
      <c r="S26" s="3">
        <f t="shared" si="141"/>
        <v>6462.8473209300046</v>
      </c>
      <c r="X26" s="3">
        <f>SUM(H26:K26)</f>
        <v>21315</v>
      </c>
      <c r="Y26" s="3">
        <f>SUM(L26:O26)</f>
        <v>26147</v>
      </c>
      <c r="Z26" s="3">
        <f>SUM(P26:S26)</f>
        <v>25027.79249253001</v>
      </c>
      <c r="AA26" s="3">
        <f t="shared" ref="AA26" si="142">AA25*0.29</f>
        <v>22080.622718656257</v>
      </c>
      <c r="AB26" s="3">
        <f t="shared" ref="AB26" si="143">AB25*0.29</f>
        <v>22411.832059436096</v>
      </c>
      <c r="AC26" s="3">
        <f t="shared" ref="AC26" si="144">AC25*0.29</f>
        <v>22972.127860921988</v>
      </c>
      <c r="AD26" s="3">
        <f t="shared" ref="AD26" si="145">AD25*0.29</f>
        <v>23546.431057445068</v>
      </c>
      <c r="AE26" s="3">
        <f t="shared" ref="AE26" si="146">AE25*0.29</f>
        <v>24135.091833881164</v>
      </c>
      <c r="AF26" s="3">
        <f t="shared" ref="AF26" si="147">AF25*0.29</f>
        <v>22928.33724218711</v>
      </c>
      <c r="AG26" s="3">
        <f t="shared" ref="AG26" si="148">AG25*0.29</f>
        <v>23386.90398703087</v>
      </c>
      <c r="AH26" s="3">
        <f t="shared" ref="AH26" si="149">AH25*0.29</f>
        <v>23854.642066771474</v>
      </c>
      <c r="AI26" s="3">
        <f t="shared" ref="AI26" si="150">AI25*0.29</f>
        <v>24331.73490810693</v>
      </c>
      <c r="AJ26" s="3">
        <f t="shared" ref="AJ26" si="151">AJ25*0.29</f>
        <v>24940.028280809591</v>
      </c>
    </row>
    <row r="27" spans="1:135" s="22" customFormat="1" x14ac:dyDescent="0.3">
      <c r="A27" s="23" t="s">
        <v>59</v>
      </c>
      <c r="H27" s="22">
        <f t="shared" ref="H27:P27" si="152">H25-H26</f>
        <v>23504</v>
      </c>
      <c r="I27" s="22">
        <f t="shared" si="152"/>
        <v>13827</v>
      </c>
      <c r="J27" s="22">
        <f t="shared" si="152"/>
        <v>12444</v>
      </c>
      <c r="K27" s="22">
        <f t="shared" si="152"/>
        <v>10891</v>
      </c>
      <c r="L27" s="22">
        <f t="shared" si="152"/>
        <v>9099</v>
      </c>
      <c r="M27" s="22">
        <f t="shared" si="152"/>
        <v>16024</v>
      </c>
      <c r="N27" s="22">
        <f t="shared" si="152"/>
        <v>17225</v>
      </c>
      <c r="O27" s="22">
        <f t="shared" si="152"/>
        <v>11288</v>
      </c>
      <c r="P27" s="22">
        <f t="shared" si="152"/>
        <v>19647</v>
      </c>
      <c r="Q27" s="22">
        <f t="shared" ref="Q27" si="153">Q25-Q26</f>
        <v>12120.248794499999</v>
      </c>
      <c r="R27" s="22">
        <f t="shared" ref="R27" si="154">R25-R26</f>
        <v>12171.410073900008</v>
      </c>
      <c r="S27" s="22">
        <f t="shared" ref="S27" si="155">S25-S26</f>
        <v>15822.833096070013</v>
      </c>
      <c r="X27" s="22">
        <f t="shared" ref="X27" si="156">X25-X26</f>
        <v>60666</v>
      </c>
      <c r="Y27" s="22">
        <f t="shared" ref="Y27:Z27" si="157">Y25-Y26</f>
        <v>53636</v>
      </c>
      <c r="Z27" s="22">
        <f t="shared" si="157"/>
        <v>57424.49196447002</v>
      </c>
      <c r="AA27" s="22">
        <f t="shared" ref="AA27" si="158">AA25-AA26</f>
        <v>54059.455621537738</v>
      </c>
      <c r="AB27" s="22">
        <f t="shared" ref="AB27" si="159">AB25-AB26</f>
        <v>54870.347455860785</v>
      </c>
      <c r="AC27" s="22">
        <f t="shared" ref="AC27" si="160">AC25-AC26</f>
        <v>56242.106142257282</v>
      </c>
      <c r="AD27" s="22">
        <f t="shared" ref="AD27" si="161">AD25-AD26</f>
        <v>57648.158795813797</v>
      </c>
      <c r="AE27" s="22">
        <f t="shared" ref="AE27" si="162">AE25-AE26</f>
        <v>59089.362765709069</v>
      </c>
      <c r="AF27" s="22">
        <f t="shared" ref="AF27" si="163">AF25-AF26</f>
        <v>56134.894627423615</v>
      </c>
      <c r="AG27" s="22">
        <f t="shared" ref="AG27" si="164">AG25-AG26</f>
        <v>57257.592519972131</v>
      </c>
      <c r="AH27" s="22">
        <f t="shared" ref="AH27" si="165">AH25-AH26</f>
        <v>58402.744370371554</v>
      </c>
      <c r="AI27" s="22">
        <f t="shared" ref="AI27" si="166">AI25-AI26</f>
        <v>59570.799257779043</v>
      </c>
      <c r="AJ27" s="22">
        <f t="shared" ref="AJ27" si="167">AJ25-AJ26</f>
        <v>61060.069239223478</v>
      </c>
      <c r="AK27" s="22">
        <f>AJ27*(1+$AN$34)</f>
        <v>60449.468546831245</v>
      </c>
      <c r="AL27" s="22">
        <f t="shared" ref="AL27:CW27" si="168">AK27*(1+$AN$34)</f>
        <v>59844.973861362931</v>
      </c>
      <c r="AM27" s="22">
        <f t="shared" si="168"/>
        <v>59246.524122749302</v>
      </c>
      <c r="AN27" s="22">
        <f t="shared" si="168"/>
        <v>58654.058881521807</v>
      </c>
      <c r="AO27" s="22">
        <f t="shared" si="168"/>
        <v>58067.518292706591</v>
      </c>
      <c r="AP27" s="22">
        <f t="shared" si="168"/>
        <v>57486.843109779526</v>
      </c>
      <c r="AQ27" s="22">
        <f t="shared" si="168"/>
        <v>56911.974678681727</v>
      </c>
      <c r="AR27" s="22">
        <f t="shared" si="168"/>
        <v>56342.854931894908</v>
      </c>
      <c r="AS27" s="22">
        <f t="shared" si="168"/>
        <v>55779.426382575955</v>
      </c>
      <c r="AT27" s="22">
        <f t="shared" si="168"/>
        <v>55221.632118750196</v>
      </c>
      <c r="AU27" s="22">
        <f t="shared" si="168"/>
        <v>54669.415797562695</v>
      </c>
      <c r="AV27" s="22">
        <f t="shared" si="168"/>
        <v>54122.721639587071</v>
      </c>
      <c r="AW27" s="22">
        <f t="shared" si="168"/>
        <v>53581.494423191201</v>
      </c>
      <c r="AX27" s="22">
        <f t="shared" si="168"/>
        <v>53045.67947895929</v>
      </c>
      <c r="AY27" s="22">
        <f t="shared" si="168"/>
        <v>52515.222684169697</v>
      </c>
      <c r="AZ27" s="22">
        <f t="shared" si="168"/>
        <v>51990.070457328002</v>
      </c>
      <c r="BA27" s="22">
        <f t="shared" si="168"/>
        <v>51470.169752754722</v>
      </c>
      <c r="BB27" s="22">
        <f t="shared" si="168"/>
        <v>50955.468055227175</v>
      </c>
      <c r="BC27" s="22">
        <f t="shared" si="168"/>
        <v>50445.913374674899</v>
      </c>
      <c r="BD27" s="22">
        <f t="shared" si="168"/>
        <v>49941.454240928149</v>
      </c>
      <c r="BE27" s="22">
        <f t="shared" si="168"/>
        <v>49442.039698518871</v>
      </c>
      <c r="BF27" s="22">
        <f t="shared" si="168"/>
        <v>48947.619301533683</v>
      </c>
      <c r="BG27" s="22">
        <f t="shared" si="168"/>
        <v>48458.143108518343</v>
      </c>
      <c r="BH27" s="22">
        <f t="shared" si="168"/>
        <v>47973.561677433157</v>
      </c>
      <c r="BI27" s="22">
        <f t="shared" si="168"/>
        <v>47493.826060658823</v>
      </c>
      <c r="BJ27" s="22">
        <f t="shared" si="168"/>
        <v>47018.887800052231</v>
      </c>
      <c r="BK27" s="22">
        <f t="shared" si="168"/>
        <v>46548.698922051706</v>
      </c>
      <c r="BL27" s="22">
        <f t="shared" si="168"/>
        <v>46083.211932831189</v>
      </c>
      <c r="BM27" s="22">
        <f t="shared" si="168"/>
        <v>45622.379813502877</v>
      </c>
      <c r="BN27" s="22">
        <f t="shared" si="168"/>
        <v>45166.156015367851</v>
      </c>
      <c r="BO27" s="22">
        <f t="shared" si="168"/>
        <v>44714.494455214175</v>
      </c>
      <c r="BP27" s="22">
        <f t="shared" si="168"/>
        <v>44267.349510662032</v>
      </c>
      <c r="BQ27" s="22">
        <f t="shared" si="168"/>
        <v>43824.676015555415</v>
      </c>
      <c r="BR27" s="22">
        <f t="shared" si="168"/>
        <v>43386.42925539986</v>
      </c>
      <c r="BS27" s="22">
        <f t="shared" si="168"/>
        <v>42952.564962845863</v>
      </c>
      <c r="BT27" s="22">
        <f t="shared" si="168"/>
        <v>42523.039313217407</v>
      </c>
      <c r="BU27" s="22">
        <f t="shared" si="168"/>
        <v>42097.808920085234</v>
      </c>
      <c r="BV27" s="22">
        <f t="shared" si="168"/>
        <v>41676.830830884384</v>
      </c>
      <c r="BW27" s="22">
        <f t="shared" si="168"/>
        <v>41260.062522575543</v>
      </c>
      <c r="BX27" s="22">
        <f t="shared" si="168"/>
        <v>40847.461897349785</v>
      </c>
      <c r="BY27" s="22">
        <f t="shared" si="168"/>
        <v>40438.987278376284</v>
      </c>
      <c r="BZ27" s="22">
        <f t="shared" si="168"/>
        <v>40034.597405592518</v>
      </c>
      <c r="CA27" s="22">
        <f t="shared" si="168"/>
        <v>39634.251431536592</v>
      </c>
      <c r="CB27" s="22">
        <f t="shared" si="168"/>
        <v>39237.908917221226</v>
      </c>
      <c r="CC27" s="22">
        <f t="shared" si="168"/>
        <v>38845.529828049017</v>
      </c>
      <c r="CD27" s="22">
        <f t="shared" si="168"/>
        <v>38457.074529768528</v>
      </c>
      <c r="CE27" s="22">
        <f t="shared" si="168"/>
        <v>38072.503784470842</v>
      </c>
      <c r="CF27" s="22">
        <f t="shared" si="168"/>
        <v>37691.778746626136</v>
      </c>
      <c r="CG27" s="22">
        <f t="shared" si="168"/>
        <v>37314.860959159872</v>
      </c>
      <c r="CH27" s="22">
        <f t="shared" si="168"/>
        <v>36941.712349568275</v>
      </c>
      <c r="CI27" s="22">
        <f t="shared" si="168"/>
        <v>36572.295226072594</v>
      </c>
      <c r="CJ27" s="22">
        <f t="shared" si="168"/>
        <v>36206.572273811871</v>
      </c>
      <c r="CK27" s="22">
        <f t="shared" si="168"/>
        <v>35844.506551073755</v>
      </c>
      <c r="CL27" s="22">
        <f t="shared" si="168"/>
        <v>35486.061485563019</v>
      </c>
      <c r="CM27" s="22">
        <f t="shared" si="168"/>
        <v>35131.200870707391</v>
      </c>
      <c r="CN27" s="22">
        <f t="shared" si="168"/>
        <v>34779.88886200032</v>
      </c>
      <c r="CO27" s="22">
        <f t="shared" si="168"/>
        <v>34432.089973380316</v>
      </c>
      <c r="CP27" s="22">
        <f t="shared" si="168"/>
        <v>34087.769073646516</v>
      </c>
      <c r="CQ27" s="22">
        <f t="shared" si="168"/>
        <v>33746.891382910049</v>
      </c>
      <c r="CR27" s="22">
        <f t="shared" si="168"/>
        <v>33409.42246908095</v>
      </c>
      <c r="CS27" s="22">
        <f t="shared" si="168"/>
        <v>33075.328244390141</v>
      </c>
      <c r="CT27" s="22">
        <f t="shared" si="168"/>
        <v>32744.57496194624</v>
      </c>
      <c r="CU27" s="22">
        <f t="shared" si="168"/>
        <v>32417.129212326778</v>
      </c>
      <c r="CV27" s="22">
        <f t="shared" si="168"/>
        <v>32092.957920203509</v>
      </c>
      <c r="CW27" s="22">
        <f t="shared" si="168"/>
        <v>31772.028341001474</v>
      </c>
      <c r="CX27" s="22">
        <f t="shared" ref="CX27:EE27" si="169">CW27*(1+$AN$34)</f>
        <v>31454.308057591461</v>
      </c>
      <c r="CY27" s="22">
        <f t="shared" si="169"/>
        <v>31139.764977015548</v>
      </c>
      <c r="CZ27" s="22">
        <f t="shared" si="169"/>
        <v>30828.367327245393</v>
      </c>
      <c r="DA27" s="22">
        <f t="shared" si="169"/>
        <v>30520.083653972939</v>
      </c>
      <c r="DB27" s="22">
        <f t="shared" si="169"/>
        <v>30214.882817433208</v>
      </c>
      <c r="DC27" s="22">
        <f t="shared" si="169"/>
        <v>29912.733989258875</v>
      </c>
      <c r="DD27" s="22">
        <f t="shared" si="169"/>
        <v>29613.606649366287</v>
      </c>
      <c r="DE27" s="22">
        <f t="shared" si="169"/>
        <v>29317.470582872626</v>
      </c>
      <c r="DF27" s="22">
        <f t="shared" si="169"/>
        <v>29024.2958770439</v>
      </c>
      <c r="DG27" s="22">
        <f t="shared" si="169"/>
        <v>28734.052918273461</v>
      </c>
      <c r="DH27" s="22">
        <f t="shared" si="169"/>
        <v>28446.712389090724</v>
      </c>
      <c r="DI27" s="22">
        <f t="shared" si="169"/>
        <v>28162.245265199817</v>
      </c>
      <c r="DJ27" s="22">
        <f t="shared" si="169"/>
        <v>27880.622812547819</v>
      </c>
      <c r="DK27" s="22">
        <f t="shared" si="169"/>
        <v>27601.81658442234</v>
      </c>
      <c r="DL27" s="22">
        <f t="shared" si="169"/>
        <v>27325.798418578117</v>
      </c>
      <c r="DM27" s="22">
        <f t="shared" si="169"/>
        <v>27052.540434392336</v>
      </c>
      <c r="DN27" s="22">
        <f t="shared" si="169"/>
        <v>26782.015030048413</v>
      </c>
      <c r="DO27" s="22">
        <f t="shared" si="169"/>
        <v>26514.194879747927</v>
      </c>
      <c r="DP27" s="22">
        <f t="shared" si="169"/>
        <v>26249.052930950449</v>
      </c>
      <c r="DQ27" s="22">
        <f t="shared" si="169"/>
        <v>25986.562401640946</v>
      </c>
      <c r="DR27" s="22">
        <f t="shared" si="169"/>
        <v>25726.696777624536</v>
      </c>
      <c r="DS27" s="22">
        <f t="shared" si="169"/>
        <v>25469.42980984829</v>
      </c>
      <c r="DT27" s="22">
        <f t="shared" si="169"/>
        <v>25214.735511749808</v>
      </c>
      <c r="DU27" s="22">
        <f t="shared" si="169"/>
        <v>24962.588156632311</v>
      </c>
      <c r="DV27" s="22">
        <f t="shared" si="169"/>
        <v>24712.962275065987</v>
      </c>
      <c r="DW27" s="22">
        <f t="shared" si="169"/>
        <v>24465.832652315326</v>
      </c>
      <c r="DX27" s="22">
        <f t="shared" si="169"/>
        <v>24221.174325792173</v>
      </c>
      <c r="DY27" s="22">
        <f t="shared" si="169"/>
        <v>23978.962582534252</v>
      </c>
      <c r="DZ27" s="22">
        <f t="shared" si="169"/>
        <v>23739.17295670891</v>
      </c>
      <c r="EA27" s="22">
        <f t="shared" si="169"/>
        <v>23501.781227141819</v>
      </c>
      <c r="EB27" s="22">
        <f t="shared" si="169"/>
        <v>23266.763414870402</v>
      </c>
      <c r="EC27" s="22">
        <f t="shared" si="169"/>
        <v>23034.095780721698</v>
      </c>
      <c r="ED27" s="22">
        <f t="shared" si="169"/>
        <v>22803.754822914481</v>
      </c>
      <c r="EE27" s="22">
        <f t="shared" si="169"/>
        <v>22575.717274685336</v>
      </c>
    </row>
    <row r="28" spans="1:135" s="3" customFormat="1" x14ac:dyDescent="0.3">
      <c r="A28" s="5" t="s">
        <v>60</v>
      </c>
      <c r="H28" s="3">
        <v>0</v>
      </c>
      <c r="I28" s="3">
        <v>-343</v>
      </c>
      <c r="J28" s="3">
        <v>271</v>
      </c>
      <c r="K28" s="3">
        <v>765</v>
      </c>
      <c r="L28" s="3">
        <v>188</v>
      </c>
      <c r="M28" s="3">
        <v>-318</v>
      </c>
      <c r="N28" s="3">
        <v>76</v>
      </c>
      <c r="O28" s="3">
        <v>-228</v>
      </c>
      <c r="P28" s="3">
        <v>-288</v>
      </c>
      <c r="Q28" s="3">
        <f t="shared" ref="Q28:S28" si="170">AVERAGE(I28:P28)</f>
        <v>15.375</v>
      </c>
      <c r="R28" s="3">
        <f t="shared" si="170"/>
        <v>60.171875</v>
      </c>
      <c r="S28" s="3">
        <f t="shared" si="170"/>
        <v>33.818359375</v>
      </c>
      <c r="X28" s="3">
        <f>SUM(H28:K28)</f>
        <v>693</v>
      </c>
      <c r="Y28" s="3">
        <f>SUM(L28:O28)</f>
        <v>-282</v>
      </c>
      <c r="Z28" s="3">
        <f>SUM(P28:S28)</f>
        <v>-178.634765625</v>
      </c>
      <c r="AA28" s="3">
        <f>AVERAGE(X28:Z28)</f>
        <v>77.455078125</v>
      </c>
      <c r="AB28" s="3">
        <f>AA28*1.01</f>
        <v>78.229628906249999</v>
      </c>
      <c r="AC28" s="3">
        <f t="shared" ref="AC28:AJ28" si="171">AB28*1.01</f>
        <v>79.0119251953125</v>
      </c>
      <c r="AD28" s="3">
        <f t="shared" si="171"/>
        <v>79.802044447265629</v>
      </c>
      <c r="AE28" s="3">
        <f t="shared" si="171"/>
        <v>80.600064891738285</v>
      </c>
      <c r="AF28" s="3">
        <f t="shared" si="171"/>
        <v>81.406065540655675</v>
      </c>
      <c r="AG28" s="3">
        <f t="shared" si="171"/>
        <v>82.220126196062239</v>
      </c>
      <c r="AH28" s="3">
        <f t="shared" si="171"/>
        <v>83.042327458022868</v>
      </c>
      <c r="AI28" s="3">
        <f t="shared" si="171"/>
        <v>83.872750732603095</v>
      </c>
      <c r="AJ28" s="3">
        <f t="shared" si="171"/>
        <v>84.711478239929122</v>
      </c>
    </row>
    <row r="29" spans="1:135" s="3" customFormat="1" x14ac:dyDescent="0.3">
      <c r="A29" s="5" t="s">
        <v>61</v>
      </c>
      <c r="H29" s="3">
        <v>-12</v>
      </c>
      <c r="I29" s="3">
        <v>-110</v>
      </c>
      <c r="J29" s="3">
        <v>-120</v>
      </c>
      <c r="K29" s="3">
        <v>129</v>
      </c>
      <c r="L29" s="3">
        <v>18</v>
      </c>
      <c r="M29" s="3">
        <v>-50</v>
      </c>
      <c r="N29" s="3">
        <v>-56</v>
      </c>
      <c r="O29" s="3">
        <v>122</v>
      </c>
      <c r="P29" s="3">
        <v>-88</v>
      </c>
      <c r="Q29" s="3">
        <f t="shared" ref="Q29:S29" si="172">AVERAGE(I29:P29)</f>
        <v>-19.375</v>
      </c>
      <c r="R29" s="3">
        <f t="shared" si="172"/>
        <v>-8.046875</v>
      </c>
      <c r="S29" s="3">
        <f t="shared" si="172"/>
        <v>5.947265625</v>
      </c>
      <c r="X29" s="3">
        <f>SUM(H29:K29)</f>
        <v>-113</v>
      </c>
      <c r="Y29" s="3">
        <f>SUM(L29:O29)</f>
        <v>34</v>
      </c>
      <c r="Z29" s="3">
        <f>SUM(P29:S29)</f>
        <v>-109.474609375</v>
      </c>
      <c r="AA29" s="3">
        <f>AVERAGE(X29:Z29)</f>
        <v>-62.824869791666664</v>
      </c>
      <c r="AB29" s="3">
        <f>AA29*1.01</f>
        <v>-63.453118489583332</v>
      </c>
      <c r="AC29" s="3">
        <f t="shared" ref="AC29:AJ29" si="173">AB29*1.01</f>
        <v>-64.087649674479167</v>
      </c>
      <c r="AD29" s="3">
        <f t="shared" si="173"/>
        <v>-64.728526171223962</v>
      </c>
      <c r="AE29" s="3">
        <f t="shared" si="173"/>
        <v>-65.375811432936203</v>
      </c>
      <c r="AF29" s="3">
        <f t="shared" si="173"/>
        <v>-66.029569547265567</v>
      </c>
      <c r="AG29" s="3">
        <f t="shared" si="173"/>
        <v>-66.689865242738222</v>
      </c>
      <c r="AH29" s="3">
        <f t="shared" si="173"/>
        <v>-67.356763895165599</v>
      </c>
      <c r="AI29" s="3">
        <f t="shared" si="173"/>
        <v>-68.030331534117252</v>
      </c>
      <c r="AJ29" s="3">
        <f t="shared" si="173"/>
        <v>-68.71063484945843</v>
      </c>
    </row>
    <row r="30" spans="1:135" s="21" customFormat="1" x14ac:dyDescent="0.3">
      <c r="A30" s="44" t="s">
        <v>62</v>
      </c>
      <c r="H30" s="21">
        <f t="shared" ref="H30:O30" si="174">H27+H28+H29</f>
        <v>23492</v>
      </c>
      <c r="I30" s="21">
        <f t="shared" si="174"/>
        <v>13374</v>
      </c>
      <c r="J30" s="21">
        <f t="shared" si="174"/>
        <v>12595</v>
      </c>
      <c r="K30" s="21">
        <f t="shared" si="174"/>
        <v>11785</v>
      </c>
      <c r="L30" s="21">
        <f t="shared" si="174"/>
        <v>9305</v>
      </c>
      <c r="M30" s="21">
        <f t="shared" si="174"/>
        <v>15656</v>
      </c>
      <c r="N30" s="21">
        <f t="shared" si="174"/>
        <v>17245</v>
      </c>
      <c r="O30" s="21">
        <f t="shared" si="174"/>
        <v>11182</v>
      </c>
      <c r="P30" s="21">
        <f t="shared" ref="P30" si="175">P27+P28+P29</f>
        <v>19271</v>
      </c>
      <c r="Q30" s="21">
        <f t="shared" ref="Q30" si="176">Q27+Q28+Q29</f>
        <v>12116.248794499999</v>
      </c>
      <c r="R30" s="21">
        <f t="shared" ref="R30" si="177">R27+R28+R29</f>
        <v>12223.535073900008</v>
      </c>
      <c r="S30" s="21">
        <f t="shared" ref="S30" si="178">S27+S28+S29</f>
        <v>15862.598721070013</v>
      </c>
      <c r="X30" s="21">
        <f>SUM(H30:K30)</f>
        <v>61246</v>
      </c>
      <c r="Y30" s="21">
        <f>SUM(L30:O30)</f>
        <v>53388</v>
      </c>
      <c r="Z30" s="21">
        <f t="shared" ref="Z30" si="179">Z27+Z28+Z29</f>
        <v>57136.38258947002</v>
      </c>
      <c r="AA30" s="21">
        <f t="shared" ref="AA30" si="180">AA27+AA28+AA29</f>
        <v>54074.085829871074</v>
      </c>
      <c r="AB30" s="21">
        <f t="shared" ref="AB30" si="181">AB27+AB28+AB29</f>
        <v>54885.123966277453</v>
      </c>
      <c r="AC30" s="21">
        <f t="shared" ref="AC30" si="182">AC27+AC28+AC29</f>
        <v>56257.030417778114</v>
      </c>
      <c r="AD30" s="21">
        <f t="shared" ref="AD30" si="183">AD27+AD28+AD29</f>
        <v>57663.232314089837</v>
      </c>
      <c r="AE30" s="21">
        <f t="shared" ref="AE30" si="184">AE27+AE28+AE29</f>
        <v>59104.58701916787</v>
      </c>
      <c r="AF30" s="21">
        <f t="shared" ref="AF30" si="185">AF27+AF28+AF29</f>
        <v>56150.271123417006</v>
      </c>
      <c r="AG30" s="21">
        <f t="shared" ref="AG30" si="186">AG27+AG28+AG29</f>
        <v>57273.122780925456</v>
      </c>
      <c r="AH30" s="21">
        <f t="shared" ref="AH30" si="187">AH27+AH28+AH29</f>
        <v>58418.429933934414</v>
      </c>
      <c r="AI30" s="21">
        <f t="shared" ref="AI30" si="188">AI27+AI28+AI29</f>
        <v>59586.641676977531</v>
      </c>
      <c r="AJ30" s="21">
        <f t="shared" ref="AJ30" si="189">AJ27+AJ28+AJ29</f>
        <v>61076.070082613951</v>
      </c>
    </row>
    <row r="31" spans="1:135" s="26" customFormat="1" x14ac:dyDescent="0.3">
      <c r="A31" s="25" t="s">
        <v>63</v>
      </c>
      <c r="C31" s="24"/>
      <c r="D31" s="24"/>
      <c r="E31" s="24"/>
      <c r="F31" s="24"/>
      <c r="G31" s="24"/>
      <c r="H31" s="24">
        <f t="shared" ref="H31:O31" si="190">H30/H32</f>
        <v>0.10631406769493501</v>
      </c>
      <c r="I31" s="24">
        <f t="shared" si="190"/>
        <v>6.0572945606092693E-2</v>
      </c>
      <c r="J31" s="24">
        <f t="shared" si="190"/>
        <v>5.7158077600175064E-2</v>
      </c>
      <c r="K31" s="24">
        <f t="shared" si="190"/>
        <v>5.3638830252946572E-2</v>
      </c>
      <c r="L31" s="24">
        <f t="shared" si="190"/>
        <v>4.2537287726991342E-2</v>
      </c>
      <c r="M31" s="24">
        <f t="shared" si="190"/>
        <v>7.1190870431119782E-2</v>
      </c>
      <c r="N31" s="24">
        <f t="shared" si="190"/>
        <v>7.8235337074828881E-2</v>
      </c>
      <c r="O31" s="24">
        <f t="shared" si="190"/>
        <v>5.1135995374840225E-2</v>
      </c>
      <c r="P31" s="24">
        <f t="shared" ref="P31" si="191">P30/P32</f>
        <v>8.8861712951333438E-2</v>
      </c>
      <c r="Q31" s="24">
        <f t="shared" ref="Q31" si="192">Q30/Q32</f>
        <v>5.5869992342057952E-2</v>
      </c>
      <c r="R31" s="24">
        <f t="shared" ref="R31" si="193">R30/R32</f>
        <v>5.6364706812695703E-2</v>
      </c>
      <c r="S31" s="24">
        <f t="shared" ref="S31" si="194">S30/S32</f>
        <v>7.3145020715786019E-2</v>
      </c>
      <c r="X31" s="3">
        <f>SUM(H31:K31)</f>
        <v>0.27768392115414936</v>
      </c>
      <c r="Y31" s="26">
        <f>SUM(L31:O31)</f>
        <v>0.24309949060778024</v>
      </c>
      <c r="Z31" s="24">
        <f t="shared" ref="Z31" si="195">Z30/Z32</f>
        <v>0.26128830225632627</v>
      </c>
      <c r="AA31" s="24">
        <f t="shared" ref="AA31" si="196">AA30/AA32</f>
        <v>0.24728422490565199</v>
      </c>
      <c r="AB31" s="24">
        <f t="shared" ref="AB31" si="197">AB30/AB32</f>
        <v>0.25099315375488251</v>
      </c>
      <c r="AC31" s="24">
        <f t="shared" ref="AC31" si="198">AC30/AC32</f>
        <v>0.25726696898996132</v>
      </c>
      <c r="AD31" s="24">
        <f t="shared" ref="AD31" si="199">AD30/AD32</f>
        <v>0.26369761946982967</v>
      </c>
      <c r="AE31" s="24">
        <f t="shared" ref="AE31" si="200">AE30/AE32</f>
        <v>0.2702890259742452</v>
      </c>
      <c r="AF31" s="24">
        <f t="shared" ref="AF31" si="201">AF30/AF32</f>
        <v>0.25677875196414562</v>
      </c>
      <c r="AG31" s="24">
        <f t="shared" ref="AG31" si="202">AG30/AG32</f>
        <v>0.26191362382651229</v>
      </c>
      <c r="AH31" s="24">
        <f t="shared" ref="AH31" si="203">AH30/AH32</f>
        <v>0.26715118609435684</v>
      </c>
      <c r="AI31" s="24">
        <f t="shared" ref="AI31" si="204">AI30/AI32</f>
        <v>0.27249349250547172</v>
      </c>
      <c r="AJ31" s="24">
        <f t="shared" ref="AJ31" si="205">AJ30/AJ32</f>
        <v>0.27930474309228798</v>
      </c>
    </row>
    <row r="32" spans="1:135" x14ac:dyDescent="0.3">
      <c r="A32" s="6" t="s">
        <v>1</v>
      </c>
      <c r="C32" s="3"/>
      <c r="D32" s="3"/>
      <c r="E32" s="3"/>
      <c r="F32" s="3"/>
      <c r="G32" s="3"/>
      <c r="H32" s="3">
        <v>220967.935</v>
      </c>
      <c r="I32" s="3">
        <v>220791.64</v>
      </c>
      <c r="J32" s="3">
        <v>220353.807</v>
      </c>
      <c r="K32" s="3">
        <v>219710.23499999999</v>
      </c>
      <c r="L32" s="3">
        <v>218749.255</v>
      </c>
      <c r="M32" s="3">
        <v>219915.83900000001</v>
      </c>
      <c r="N32" s="3">
        <v>220424.69099999999</v>
      </c>
      <c r="O32" s="3">
        <v>218671.79699999999</v>
      </c>
      <c r="P32" s="3">
        <v>216865.052</v>
      </c>
      <c r="Q32" s="3">
        <v>216865.052</v>
      </c>
      <c r="R32" s="3">
        <v>216865.052</v>
      </c>
      <c r="S32" s="3">
        <v>216865.052</v>
      </c>
      <c r="X32" s="3">
        <f>AVERAGE(H32:K32)</f>
        <v>220455.90424999999</v>
      </c>
      <c r="Y32" s="3">
        <f>AVERAGE(L32:O32)</f>
        <v>219440.39550000001</v>
      </c>
      <c r="Z32" s="3">
        <v>218671.79699999999</v>
      </c>
      <c r="AA32" s="3">
        <v>218671.79699999999</v>
      </c>
      <c r="AB32" s="3">
        <v>218671.79699999999</v>
      </c>
      <c r="AC32" s="3">
        <v>218671.79699999999</v>
      </c>
      <c r="AD32" s="3">
        <v>218671.79699999999</v>
      </c>
      <c r="AE32" s="3">
        <v>218671.79699999999</v>
      </c>
      <c r="AF32" s="3">
        <v>218671.79699999999</v>
      </c>
      <c r="AG32" s="3">
        <v>218671.79699999999</v>
      </c>
      <c r="AH32" s="3">
        <v>218671.79699999999</v>
      </c>
      <c r="AI32" s="3">
        <v>218671.79699999999</v>
      </c>
      <c r="AJ32" s="3">
        <v>218671.79699999999</v>
      </c>
    </row>
    <row r="33" spans="1:40" x14ac:dyDescent="0.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40" x14ac:dyDescent="0.3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AM34" t="s">
        <v>102</v>
      </c>
      <c r="AN34" s="46">
        <v>-0.01</v>
      </c>
    </row>
    <row r="35" spans="1:40" x14ac:dyDescent="0.3">
      <c r="K35" s="3"/>
      <c r="O35" s="3"/>
      <c r="AM35" t="s">
        <v>103</v>
      </c>
      <c r="AN35" s="46">
        <v>8.7400000000000005E-2</v>
      </c>
    </row>
    <row r="36" spans="1:40" s="35" customFormat="1" x14ac:dyDescent="0.3">
      <c r="A36" s="34" t="s">
        <v>70</v>
      </c>
      <c r="H36" s="36"/>
      <c r="I36" s="36"/>
      <c r="J36" s="36"/>
      <c r="K36" s="36"/>
      <c r="L36" s="36">
        <f>L8/H8-1</f>
        <v>-0.25964221371582175</v>
      </c>
      <c r="M36" s="36">
        <f>M8/I8-1</f>
        <v>-3.2608281589272758E-2</v>
      </c>
      <c r="N36" s="36">
        <f>N8/J8-1</f>
        <v>-1.1791226920382369E-2</v>
      </c>
      <c r="O36" s="36">
        <f>O8/K8-1</f>
        <v>-0.1763570309160849</v>
      </c>
      <c r="P36" s="36">
        <f>P8/L8-1</f>
        <v>-7.6340721857118377E-2</v>
      </c>
      <c r="Q36" s="36">
        <f t="shared" ref="Q36:S36" si="206">Q8/M8-1</f>
        <v>-3.0000000000000027E-2</v>
      </c>
      <c r="R36" s="36">
        <f t="shared" si="206"/>
        <v>-1.0000000000000009E-2</v>
      </c>
      <c r="S36" s="36">
        <f t="shared" si="206"/>
        <v>-2.6543667782361613E-2</v>
      </c>
      <c r="Y36" s="36">
        <f>Y8/X8-1</f>
        <v>-0.13669135367868068</v>
      </c>
      <c r="Z36" s="36">
        <f>Z8/Y8-1</f>
        <v>-3.5359423744718343E-2</v>
      </c>
      <c r="AA36" s="36">
        <f t="shared" ref="AA36:AJ36" si="207">AA8/Z8-1</f>
        <v>4.2000000000000037E-2</v>
      </c>
      <c r="AB36" s="36">
        <f t="shared" si="207"/>
        <v>1.4999999999999902E-2</v>
      </c>
      <c r="AC36" s="36">
        <f t="shared" si="207"/>
        <v>2.4999999999999911E-2</v>
      </c>
      <c r="AD36" s="36">
        <f t="shared" si="207"/>
        <v>2.4999999999999911E-2</v>
      </c>
      <c r="AE36" s="36">
        <f t="shared" si="207"/>
        <v>2.4999999999999911E-2</v>
      </c>
      <c r="AF36" s="36">
        <f t="shared" si="207"/>
        <v>-5.0000000000000044E-2</v>
      </c>
      <c r="AG36" s="36">
        <f t="shared" si="207"/>
        <v>2.0000000000000018E-2</v>
      </c>
      <c r="AH36" s="36">
        <f t="shared" si="207"/>
        <v>2.0000000000000018E-2</v>
      </c>
      <c r="AI36" s="36">
        <f t="shared" si="207"/>
        <v>2.0000000000000018E-2</v>
      </c>
      <c r="AJ36" s="36">
        <f t="shared" si="207"/>
        <v>2.4999999999999911E-2</v>
      </c>
      <c r="AM36" s="35" t="s">
        <v>104</v>
      </c>
      <c r="AN36" s="47">
        <f>NPV(AN35,Z27:EE27)</f>
        <v>640035.05032829812</v>
      </c>
    </row>
    <row r="37" spans="1:40" s="38" customFormat="1" x14ac:dyDescent="0.3">
      <c r="A37" s="37" t="s">
        <v>71</v>
      </c>
      <c r="H37" s="39"/>
      <c r="I37" s="40">
        <f t="shared" ref="I37:O37" si="208">I8/H8-1</f>
        <v>-0.2493065286396523</v>
      </c>
      <c r="J37" s="40">
        <f t="shared" si="208"/>
        <v>-3.6793156179084296E-2</v>
      </c>
      <c r="K37" s="40">
        <f t="shared" si="208"/>
        <v>0.58625053673529348</v>
      </c>
      <c r="L37" s="40">
        <f t="shared" si="208"/>
        <v>-0.35451275110414593</v>
      </c>
      <c r="M37" s="40">
        <f t="shared" si="208"/>
        <v>-1.910311377443763E-2</v>
      </c>
      <c r="N37" s="40">
        <f t="shared" si="208"/>
        <v>-1.6066154754873052E-2</v>
      </c>
      <c r="O37" s="40">
        <f t="shared" si="208"/>
        <v>0.32209320275114495</v>
      </c>
      <c r="P37" s="40">
        <f t="shared" ref="P37:S37" si="209">P8/O8-1</f>
        <v>-0.27613018171125125</v>
      </c>
      <c r="Q37" s="40">
        <f t="shared" si="209"/>
        <v>3.0109264480978615E-2</v>
      </c>
      <c r="R37" s="40">
        <f t="shared" si="209"/>
        <v>4.2211410233772284E-3</v>
      </c>
      <c r="S37" s="40">
        <f t="shared" si="209"/>
        <v>0.30000000000000004</v>
      </c>
      <c r="AM37" s="38" t="s">
        <v>3</v>
      </c>
      <c r="AN37" s="39">
        <v>268009</v>
      </c>
    </row>
    <row r="38" spans="1:40" x14ac:dyDescent="0.3">
      <c r="AM38" t="s">
        <v>105</v>
      </c>
      <c r="AN38" s="48">
        <f>AN36+AN37</f>
        <v>908044.05032829812</v>
      </c>
    </row>
    <row r="39" spans="1:40" s="35" customFormat="1" x14ac:dyDescent="0.3">
      <c r="A39" s="34" t="s">
        <v>64</v>
      </c>
      <c r="C39" s="36"/>
      <c r="D39" s="36"/>
      <c r="E39" s="36"/>
      <c r="F39" s="36"/>
      <c r="G39" s="36"/>
      <c r="H39" s="36">
        <f t="shared" ref="H39:O39" si="210">H15/H8</f>
        <v>0.40452155582699778</v>
      </c>
      <c r="I39" s="36">
        <f t="shared" si="210"/>
        <v>0.46489657536855739</v>
      </c>
      <c r="J39" s="36">
        <f t="shared" si="210"/>
        <v>0.46234943162557346</v>
      </c>
      <c r="K39" s="36">
        <f t="shared" si="210"/>
        <v>0.29780239350334803</v>
      </c>
      <c r="L39" s="36">
        <f t="shared" si="210"/>
        <v>0.42303850971433615</v>
      </c>
      <c r="M39" s="36">
        <f t="shared" si="210"/>
        <v>0.49309481618991363</v>
      </c>
      <c r="N39" s="36">
        <f t="shared" si="210"/>
        <v>0.46843787340845811</v>
      </c>
      <c r="O39" s="36">
        <f t="shared" si="210"/>
        <v>0.41963104226667702</v>
      </c>
      <c r="P39" s="36">
        <f t="shared" ref="P39:S39" si="211">P15/P8</f>
        <v>0.54718266105907087</v>
      </c>
      <c r="Q39" s="36">
        <f t="shared" si="211"/>
        <v>0.43</v>
      </c>
      <c r="R39" s="36">
        <f t="shared" si="211"/>
        <v>0.43000000000000005</v>
      </c>
      <c r="S39" s="36">
        <f t="shared" si="211"/>
        <v>0.43000000000000005</v>
      </c>
      <c r="X39" s="36">
        <f t="shared" ref="X39:Y39" si="212">X15/X8</f>
        <v>0.39478120176555009</v>
      </c>
      <c r="Y39" s="36">
        <f t="shared" si="212"/>
        <v>0.44866280597061742</v>
      </c>
      <c r="Z39" s="36">
        <f t="shared" ref="Z39:AJ39" si="213">Z15/Z8</f>
        <v>0.45657587966325763</v>
      </c>
      <c r="AA39" s="36">
        <f t="shared" si="213"/>
        <v>0.43</v>
      </c>
      <c r="AB39" s="36">
        <f t="shared" si="213"/>
        <v>0.43</v>
      </c>
      <c r="AC39" s="36">
        <f t="shared" si="213"/>
        <v>0.43</v>
      </c>
      <c r="AD39" s="36">
        <f t="shared" si="213"/>
        <v>0.4300000000000001</v>
      </c>
      <c r="AE39" s="36">
        <f t="shared" si="213"/>
        <v>0.43</v>
      </c>
      <c r="AF39" s="36">
        <f t="shared" si="213"/>
        <v>0.43</v>
      </c>
      <c r="AG39" s="36">
        <f t="shared" si="213"/>
        <v>0.43000000000000005</v>
      </c>
      <c r="AH39" s="36">
        <f t="shared" si="213"/>
        <v>0.43000000000000005</v>
      </c>
      <c r="AI39" s="36">
        <f t="shared" si="213"/>
        <v>0.43000000000000005</v>
      </c>
      <c r="AJ39" s="36">
        <f t="shared" si="213"/>
        <v>0.43000000000000005</v>
      </c>
      <c r="AM39" s="35" t="s">
        <v>106</v>
      </c>
      <c r="AN39" s="49">
        <f>AN38/O32</f>
        <v>4.1525430475531246</v>
      </c>
    </row>
    <row r="40" spans="1:40" s="42" customFormat="1" x14ac:dyDescent="0.3">
      <c r="A40" s="41" t="s">
        <v>67</v>
      </c>
      <c r="C40" s="43"/>
      <c r="D40" s="43"/>
      <c r="E40" s="43"/>
      <c r="F40" s="43"/>
      <c r="G40" s="43"/>
      <c r="H40" s="43">
        <f t="shared" ref="H40:O40" si="214">H20/H8</f>
        <v>0.12830547873014056</v>
      </c>
      <c r="I40" s="43">
        <f t="shared" si="214"/>
        <v>0.10899720826961694</v>
      </c>
      <c r="J40" s="43">
        <f t="shared" si="214"/>
        <v>9.8425953128884275E-2</v>
      </c>
      <c r="K40" s="43">
        <f t="shared" si="214"/>
        <v>3.9521299330388941E-2</v>
      </c>
      <c r="L40" s="43">
        <f t="shared" si="214"/>
        <v>5.8098406970263812E-2</v>
      </c>
      <c r="M40" s="43">
        <f t="shared" si="214"/>
        <v>0.10828903327426659</v>
      </c>
      <c r="N40" s="43">
        <f t="shared" si="214"/>
        <v>0.13542470656169781</v>
      </c>
      <c r="O40" s="43">
        <f t="shared" si="214"/>
        <v>7.1434749141606774E-2</v>
      </c>
      <c r="P40" s="43">
        <f t="shared" ref="P40:S40" si="215">P20/P8</f>
        <v>0.1505746989103422</v>
      </c>
      <c r="Q40" s="43">
        <f t="shared" si="215"/>
        <v>9.0000000000000011E-2</v>
      </c>
      <c r="R40" s="43">
        <f t="shared" si="215"/>
        <v>9.0000000000000052E-2</v>
      </c>
      <c r="S40" s="43">
        <f t="shared" si="215"/>
        <v>9.0000000000000066E-2</v>
      </c>
      <c r="X40" s="43">
        <f t="shared" ref="X40:Y40" si="216">X20/X8</f>
        <v>9.0210268352785075E-2</v>
      </c>
      <c r="Y40" s="43">
        <f t="shared" si="216"/>
        <v>9.1466084294913264E-2</v>
      </c>
      <c r="Z40" s="43">
        <f t="shared" ref="Z40:AJ40" si="217">Z20/Z8</f>
        <v>0.10373774835227387</v>
      </c>
      <c r="AA40" s="43">
        <f t="shared" si="217"/>
        <v>0.09</v>
      </c>
      <c r="AB40" s="43">
        <f t="shared" si="217"/>
        <v>8.9999999999999969E-2</v>
      </c>
      <c r="AC40" s="43">
        <f t="shared" si="217"/>
        <v>8.9999999999999941E-2</v>
      </c>
      <c r="AD40" s="43">
        <f t="shared" si="217"/>
        <v>9.000000000000008E-2</v>
      </c>
      <c r="AE40" s="43">
        <f t="shared" si="217"/>
        <v>8.9999999999999983E-2</v>
      </c>
      <c r="AF40" s="43">
        <f t="shared" si="217"/>
        <v>0.09</v>
      </c>
      <c r="AG40" s="43">
        <f t="shared" si="217"/>
        <v>9.0000000000000052E-2</v>
      </c>
      <c r="AH40" s="43">
        <f t="shared" si="217"/>
        <v>9.0000000000000011E-2</v>
      </c>
      <c r="AI40" s="43">
        <f t="shared" si="217"/>
        <v>9.0000000000000108E-2</v>
      </c>
      <c r="AJ40" s="43">
        <f t="shared" si="217"/>
        <v>9.0000000000000052E-2</v>
      </c>
      <c r="AM40" s="42" t="s">
        <v>107</v>
      </c>
      <c r="AN40" s="43">
        <f>AN39/Main!L2-1</f>
        <v>-0.31476187334106853</v>
      </c>
    </row>
    <row r="41" spans="1:40" s="42" customFormat="1" x14ac:dyDescent="0.3">
      <c r="A41" s="41" t="s">
        <v>68</v>
      </c>
      <c r="C41" s="43"/>
      <c r="D41" s="43"/>
      <c r="E41" s="43"/>
      <c r="F41" s="43"/>
      <c r="G41" s="43"/>
      <c r="H41" s="43">
        <f t="shared" ref="H41:O41" si="218">H27/H8</f>
        <v>9.6019739932920178E-2</v>
      </c>
      <c r="I41" s="43">
        <f t="shared" si="218"/>
        <v>7.524611307324347E-2</v>
      </c>
      <c r="J41" s="43">
        <f t="shared" si="218"/>
        <v>7.0306673597143432E-2</v>
      </c>
      <c r="K41" s="43">
        <f t="shared" si="218"/>
        <v>3.8791138338794703E-2</v>
      </c>
      <c r="L41" s="43">
        <f t="shared" si="218"/>
        <v>5.0207750500753198E-2</v>
      </c>
      <c r="M41" s="43">
        <f t="shared" si="218"/>
        <v>9.0141478918797285E-2</v>
      </c>
      <c r="N41" s="43">
        <f t="shared" si="218"/>
        <v>9.8479780914647042E-2</v>
      </c>
      <c r="O41" s="43">
        <f t="shared" si="218"/>
        <v>4.8813817320083372E-2</v>
      </c>
      <c r="P41" s="43">
        <f t="shared" ref="P41:S41" si="219">P27/P8</f>
        <v>0.1173712005352705</v>
      </c>
      <c r="Q41" s="43">
        <f t="shared" si="219"/>
        <v>7.0290000000000005E-2</v>
      </c>
      <c r="R41" s="43">
        <f t="shared" si="219"/>
        <v>7.0290000000000047E-2</v>
      </c>
      <c r="S41" s="43">
        <f t="shared" si="219"/>
        <v>7.0290000000000061E-2</v>
      </c>
      <c r="X41" s="43">
        <f t="shared" ref="X41:Y41" si="220">X27/X8</f>
        <v>6.8448915486474041E-2</v>
      </c>
      <c r="Y41" s="43">
        <f t="shared" si="220"/>
        <v>7.0098948306665257E-2</v>
      </c>
      <c r="Z41" s="43">
        <f t="shared" ref="Z41:AJ41" si="221">Z27/Z8</f>
        <v>7.7801282467864941E-2</v>
      </c>
      <c r="AA41" s="43">
        <f t="shared" si="221"/>
        <v>7.0289999999999991E-2</v>
      </c>
      <c r="AB41" s="43">
        <f t="shared" si="221"/>
        <v>7.0289999999999977E-2</v>
      </c>
      <c r="AC41" s="43">
        <f t="shared" si="221"/>
        <v>7.0289999999999964E-2</v>
      </c>
      <c r="AD41" s="43">
        <f t="shared" si="221"/>
        <v>7.0290000000000075E-2</v>
      </c>
      <c r="AE41" s="43">
        <f t="shared" si="221"/>
        <v>7.0289999999999991E-2</v>
      </c>
      <c r="AF41" s="43">
        <f t="shared" si="221"/>
        <v>7.0289999999999991E-2</v>
      </c>
      <c r="AG41" s="43">
        <f t="shared" si="221"/>
        <v>7.0290000000000047E-2</v>
      </c>
      <c r="AH41" s="43">
        <f t="shared" si="221"/>
        <v>7.0290000000000019E-2</v>
      </c>
      <c r="AI41" s="43">
        <f t="shared" si="221"/>
        <v>7.0290000000000089E-2</v>
      </c>
      <c r="AJ41" s="43">
        <f t="shared" si="221"/>
        <v>7.0290000000000047E-2</v>
      </c>
    </row>
    <row r="42" spans="1:40" s="38" customFormat="1" x14ac:dyDescent="0.3">
      <c r="A42" s="37" t="s">
        <v>69</v>
      </c>
      <c r="C42" s="40"/>
      <c r="D42" s="40"/>
      <c r="E42" s="40"/>
      <c r="F42" s="40"/>
      <c r="G42" s="40"/>
      <c r="H42" s="40">
        <f t="shared" ref="H42:O42" si="222">H26/H25</f>
        <v>0.25070135169599594</v>
      </c>
      <c r="I42" s="40">
        <f t="shared" si="222"/>
        <v>0.32057392757112674</v>
      </c>
      <c r="J42" s="40">
        <f t="shared" si="222"/>
        <v>0.29519710013593115</v>
      </c>
      <c r="K42" s="40">
        <f t="shared" si="222"/>
        <v>0.13604632714580359</v>
      </c>
      <c r="L42" s="40">
        <f t="shared" si="222"/>
        <v>0.2915758330738088</v>
      </c>
      <c r="M42" s="40">
        <f t="shared" si="222"/>
        <v>0.30151257573776208</v>
      </c>
      <c r="N42" s="40">
        <f t="shared" si="222"/>
        <v>0.32490691749951012</v>
      </c>
      <c r="O42" s="40">
        <f t="shared" si="222"/>
        <v>0.38927663258129092</v>
      </c>
      <c r="P42" s="40">
        <f t="shared" ref="P42:S42" si="223">P26/P25</f>
        <v>0.30551431601272533</v>
      </c>
      <c r="Q42" s="40">
        <f t="shared" si="223"/>
        <v>0.28999999999999998</v>
      </c>
      <c r="R42" s="40">
        <f t="shared" si="223"/>
        <v>0.28999999999999998</v>
      </c>
      <c r="S42" s="40">
        <f t="shared" si="223"/>
        <v>0.28999999999999998</v>
      </c>
      <c r="X42" s="40">
        <f t="shared" ref="X42:Y42" si="224">X26/X25</f>
        <v>0.2599992681231017</v>
      </c>
      <c r="Y42" s="40">
        <f t="shared" si="224"/>
        <v>0.3277264580173721</v>
      </c>
      <c r="Z42" s="40">
        <f t="shared" ref="Z42:AJ42" si="225">Z26/Z25</f>
        <v>0.30354274180944424</v>
      </c>
      <c r="AA42" s="40">
        <f t="shared" si="225"/>
        <v>0.28999999999999998</v>
      </c>
      <c r="AB42" s="40">
        <f t="shared" si="225"/>
        <v>0.28999999999999998</v>
      </c>
      <c r="AC42" s="40">
        <f t="shared" si="225"/>
        <v>0.28999999999999998</v>
      </c>
      <c r="AD42" s="40">
        <f t="shared" si="225"/>
        <v>0.28999999999999998</v>
      </c>
      <c r="AE42" s="40">
        <f t="shared" si="225"/>
        <v>0.28999999999999998</v>
      </c>
      <c r="AF42" s="40">
        <f t="shared" si="225"/>
        <v>0.28999999999999998</v>
      </c>
      <c r="AG42" s="40">
        <f t="shared" si="225"/>
        <v>0.28999999999999998</v>
      </c>
      <c r="AH42" s="40">
        <f t="shared" si="225"/>
        <v>0.28999999999999998</v>
      </c>
      <c r="AI42" s="40">
        <f t="shared" si="225"/>
        <v>0.28999999999999998</v>
      </c>
      <c r="AJ42" s="40">
        <f t="shared" si="225"/>
        <v>0.28999999999999998</v>
      </c>
    </row>
    <row r="43" spans="1:40" x14ac:dyDescent="0.3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40" s="35" customFormat="1" x14ac:dyDescent="0.3">
      <c r="A44" s="34" t="s">
        <v>95</v>
      </c>
      <c r="C44" s="36"/>
      <c r="D44" s="36"/>
      <c r="E44" s="36"/>
      <c r="F44" s="36"/>
      <c r="G44" s="36"/>
      <c r="H44" s="36"/>
      <c r="I44" s="36"/>
      <c r="J44" s="36"/>
      <c r="K44" s="36"/>
      <c r="L44" s="36">
        <f>SUM(I27:L27)/L64</f>
        <v>5.4653672621417494E-2</v>
      </c>
      <c r="M44" s="36">
        <f>SUM(J27:M27)/M64</f>
        <v>5.3941654672334895E-2</v>
      </c>
      <c r="N44" s="36">
        <f>SUM(K27:N27)/N64</f>
        <v>7.4051149664301638E-2</v>
      </c>
      <c r="O44" s="36">
        <f>SUM(L27:O27)/O64</f>
        <v>7.1503035506224319E-2</v>
      </c>
      <c r="P44" s="36">
        <f>SUM(M27:P27)/P64</f>
        <v>8.8687335137921069E-2</v>
      </c>
    </row>
    <row r="45" spans="1:40" s="42" customFormat="1" x14ac:dyDescent="0.3">
      <c r="A45" s="41" t="s">
        <v>97</v>
      </c>
      <c r="C45" s="43"/>
      <c r="D45" s="43"/>
      <c r="E45" s="43"/>
      <c r="F45" s="43"/>
      <c r="G45" s="43"/>
      <c r="H45" s="43"/>
      <c r="I45" s="43"/>
      <c r="J45" s="43"/>
      <c r="K45" s="43"/>
      <c r="L45" s="43">
        <f>SUM(I27:L27)/L75</f>
        <v>6.6642849013848329E-2</v>
      </c>
      <c r="M45" s="43">
        <f>SUM(J27:M27)/M75</f>
        <v>0.10047127659353897</v>
      </c>
      <c r="N45" s="43">
        <f>SUM(K27:N27)/N75</f>
        <v>0.10116270894653134</v>
      </c>
      <c r="O45" s="43">
        <f>SUM(L27:O27)/O75</f>
        <v>0.10027800992011188</v>
      </c>
      <c r="P45" s="43">
        <f>SUM(M27:P27)/P75</f>
        <v>0.11552778037770083</v>
      </c>
    </row>
    <row r="46" spans="1:40" s="42" customFormat="1" x14ac:dyDescent="0.3">
      <c r="A46" s="41" t="s">
        <v>96</v>
      </c>
      <c r="C46" s="43"/>
      <c r="D46" s="43"/>
      <c r="E46" s="43"/>
      <c r="F46" s="43"/>
      <c r="G46" s="43"/>
      <c r="H46" s="43"/>
      <c r="I46" s="43"/>
      <c r="J46" s="43"/>
      <c r="K46" s="43"/>
      <c r="L46" s="43">
        <f>SUM(I20:L20)/L79</f>
        <v>8.2511938566142945E-2</v>
      </c>
      <c r="M46" s="43">
        <f>SUM(J20:M20)/M79</f>
        <v>0.11586345062248581</v>
      </c>
      <c r="N46" s="43">
        <f>SUM(K20:N20)/N79</f>
        <v>0.11846586321800273</v>
      </c>
      <c r="O46" s="43">
        <f>SUM(L20:O20)/O79</f>
        <v>0.12640474805746507</v>
      </c>
      <c r="P46" s="43">
        <f>SUM(M20:P20)/P79</f>
        <v>0.14834121229749192</v>
      </c>
    </row>
    <row r="47" spans="1:40" s="42" customFormat="1" x14ac:dyDescent="0.3">
      <c r="A47" s="41" t="s">
        <v>98</v>
      </c>
      <c r="C47" s="43"/>
      <c r="D47" s="43"/>
      <c r="E47" s="43"/>
      <c r="F47" s="43"/>
      <c r="G47" s="43"/>
      <c r="H47" s="43"/>
      <c r="I47" s="43"/>
      <c r="J47" s="43"/>
      <c r="K47" s="43"/>
      <c r="L47" s="43">
        <f>SUM(I27:L27)/AVERAGE(I80:L80)</f>
        <v>0.11398742863619675</v>
      </c>
      <c r="M47" s="43">
        <f>SUM(J27:M27)/AVERAGE(J80:M80)</f>
        <v>0.12458062210613186</v>
      </c>
      <c r="N47" s="43">
        <f>SUM(K27:N27)/AVERAGE(K80:N80)</f>
        <v>0.13911952030214556</v>
      </c>
      <c r="O47" s="43">
        <f>SUM(L27:O27)/AVERAGE(L80:O80)</f>
        <v>0.14754469274703511</v>
      </c>
      <c r="P47" s="43">
        <f>SUM(M27:P27)/AVERAGE(M80:P80)</f>
        <v>0.19220722828426509</v>
      </c>
    </row>
    <row r="48" spans="1:40" s="38" customFormat="1" x14ac:dyDescent="0.3">
      <c r="A48" s="37" t="s">
        <v>98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>
        <f>SUM(L78:O78)/AVERAGE(L80:O80)</f>
        <v>0.12924698901293988</v>
      </c>
      <c r="P48" s="40">
        <f>SUM(M78:P78)/AVERAGE(M80:P80)</f>
        <v>0.1707832487481363</v>
      </c>
    </row>
    <row r="50" spans="1:25" s="29" customFormat="1" x14ac:dyDescent="0.3">
      <c r="A50" s="28" t="s">
        <v>94</v>
      </c>
      <c r="L50" s="29">
        <f t="shared" ref="L50:N50" si="226">L51-L52</f>
        <v>288320</v>
      </c>
      <c r="M50" s="29">
        <f t="shared" si="226"/>
        <v>110212</v>
      </c>
      <c r="N50" s="29">
        <f t="shared" si="226"/>
        <v>156153</v>
      </c>
      <c r="O50" s="29">
        <f>O51-O52</f>
        <v>228834</v>
      </c>
      <c r="P50" s="29">
        <f t="shared" ref="P50:S50" si="227">P51-P52</f>
        <v>268099</v>
      </c>
      <c r="Q50" s="29">
        <f t="shared" si="227"/>
        <v>0</v>
      </c>
      <c r="R50" s="29">
        <f t="shared" si="227"/>
        <v>0</v>
      </c>
      <c r="S50" s="29">
        <f t="shared" si="227"/>
        <v>0</v>
      </c>
      <c r="W50" s="29">
        <f t="shared" ref="W50" si="228">W51-W52</f>
        <v>0</v>
      </c>
      <c r="X50" s="29">
        <f t="shared" ref="X50" si="229">X51-X52</f>
        <v>0</v>
      </c>
      <c r="Y50" s="29">
        <f t="shared" ref="Y50" si="230">Y51-Y52</f>
        <v>0</v>
      </c>
    </row>
    <row r="51" spans="1:25" s="31" customFormat="1" x14ac:dyDescent="0.3">
      <c r="A51" s="30" t="s">
        <v>3</v>
      </c>
      <c r="L51" s="31">
        <f t="shared" ref="L51:N51" si="231">L53+L54</f>
        <v>307332</v>
      </c>
      <c r="M51" s="31">
        <f t="shared" si="231"/>
        <v>361485</v>
      </c>
      <c r="N51" s="31">
        <f t="shared" si="231"/>
        <v>173627</v>
      </c>
      <c r="O51" s="31">
        <f>O53+O54</f>
        <v>245139</v>
      </c>
      <c r="P51" s="31">
        <f t="shared" ref="P51:S51" si="232">P53+P54</f>
        <v>281695</v>
      </c>
      <c r="Q51" s="31">
        <f t="shared" si="232"/>
        <v>0</v>
      </c>
      <c r="R51" s="31">
        <f t="shared" si="232"/>
        <v>0</v>
      </c>
      <c r="S51" s="31">
        <f t="shared" si="232"/>
        <v>0</v>
      </c>
      <c r="W51" s="31">
        <f t="shared" ref="W51" si="233">W53+W54</f>
        <v>0</v>
      </c>
      <c r="X51" s="31">
        <f t="shared" ref="X51:Y51" si="234">X53+X54</f>
        <v>0</v>
      </c>
      <c r="Y51" s="31">
        <f t="shared" si="234"/>
        <v>0</v>
      </c>
    </row>
    <row r="52" spans="1:25" s="33" customFormat="1" ht="15" thickBot="1" x14ac:dyDescent="0.35">
      <c r="A52" s="32" t="s">
        <v>4</v>
      </c>
      <c r="L52" s="33">
        <f t="shared" ref="L52:N52" si="235">L71+L68+L69</f>
        <v>19012</v>
      </c>
      <c r="M52" s="33">
        <f t="shared" si="235"/>
        <v>251273</v>
      </c>
      <c r="N52" s="33">
        <f t="shared" si="235"/>
        <v>17474</v>
      </c>
      <c r="O52" s="33">
        <f>O71+O68+O69</f>
        <v>16305</v>
      </c>
      <c r="P52" s="33">
        <f t="shared" ref="P52:S52" si="236">P71+P68+P69</f>
        <v>13596</v>
      </c>
      <c r="Q52" s="33">
        <f t="shared" si="236"/>
        <v>0</v>
      </c>
      <c r="R52" s="33">
        <f t="shared" si="236"/>
        <v>0</v>
      </c>
      <c r="S52" s="33">
        <f t="shared" si="236"/>
        <v>0</v>
      </c>
      <c r="W52" s="33">
        <f t="shared" ref="W52" si="237">W71+W68+W69</f>
        <v>0</v>
      </c>
      <c r="X52" s="33">
        <f t="shared" ref="X52:Y52" si="238">X71+X68+X69</f>
        <v>0</v>
      </c>
      <c r="Y52" s="33">
        <f t="shared" si="238"/>
        <v>0</v>
      </c>
    </row>
    <row r="53" spans="1:25" s="3" customFormat="1" x14ac:dyDescent="0.3">
      <c r="A53" s="5" t="s">
        <v>3</v>
      </c>
      <c r="L53" s="3">
        <v>232321</v>
      </c>
      <c r="M53" s="3">
        <v>286121</v>
      </c>
      <c r="N53" s="3">
        <v>72552</v>
      </c>
      <c r="O53" s="3">
        <v>142187</v>
      </c>
      <c r="P53" s="3">
        <v>178992</v>
      </c>
    </row>
    <row r="54" spans="1:25" s="3" customFormat="1" x14ac:dyDescent="0.3">
      <c r="A54" s="5" t="s">
        <v>72</v>
      </c>
      <c r="L54" s="3">
        <v>75011</v>
      </c>
      <c r="M54" s="3">
        <v>75364</v>
      </c>
      <c r="N54" s="3">
        <v>101075</v>
      </c>
      <c r="O54" s="3">
        <v>102952</v>
      </c>
      <c r="P54" s="3">
        <v>102703</v>
      </c>
    </row>
    <row r="55" spans="1:25" s="3" customFormat="1" x14ac:dyDescent="0.3">
      <c r="A55" s="5" t="s">
        <v>73</v>
      </c>
      <c r="L55" s="3">
        <v>90391</v>
      </c>
      <c r="M55" s="3">
        <v>88651</v>
      </c>
      <c r="N55" s="3">
        <v>92195</v>
      </c>
      <c r="O55" s="3">
        <v>111247</v>
      </c>
      <c r="P55" s="3">
        <v>77597</v>
      </c>
    </row>
    <row r="56" spans="1:25" s="3" customFormat="1" x14ac:dyDescent="0.3">
      <c r="A56" s="5" t="s">
        <v>74</v>
      </c>
      <c r="L56" s="3">
        <v>293696</v>
      </c>
      <c r="M56" s="3">
        <v>294330</v>
      </c>
      <c r="N56" s="3">
        <v>303592</v>
      </c>
      <c r="O56" s="3">
        <v>244469</v>
      </c>
      <c r="P56" s="3">
        <v>225367</v>
      </c>
    </row>
    <row r="57" spans="1:25" s="3" customFormat="1" x14ac:dyDescent="0.3">
      <c r="A57" s="5" t="s">
        <v>75</v>
      </c>
      <c r="L57" s="3">
        <v>15629</v>
      </c>
      <c r="M57" s="3">
        <v>18574</v>
      </c>
      <c r="N57" s="3">
        <v>16352</v>
      </c>
      <c r="O57" s="3">
        <v>19114</v>
      </c>
      <c r="P57" s="3">
        <v>11198</v>
      </c>
    </row>
    <row r="58" spans="1:25" s="22" customFormat="1" x14ac:dyDescent="0.3">
      <c r="A58" s="23" t="s">
        <v>76</v>
      </c>
      <c r="L58" s="22">
        <f t="shared" ref="L58:N58" si="239">SUM(L53:L57)</f>
        <v>707048</v>
      </c>
      <c r="M58" s="22">
        <f t="shared" si="239"/>
        <v>763040</v>
      </c>
      <c r="N58" s="22">
        <f t="shared" si="239"/>
        <v>585766</v>
      </c>
      <c r="O58" s="22">
        <f>SUM(O53:O57)</f>
        <v>619969</v>
      </c>
      <c r="P58" s="22">
        <f>SUM(P53:P57)</f>
        <v>595857</v>
      </c>
      <c r="Q58" s="22">
        <f>SUM(Q53:Q57)</f>
        <v>0</v>
      </c>
      <c r="R58" s="22">
        <f>SUM(R53:R57)</f>
        <v>0</v>
      </c>
      <c r="S58" s="22">
        <f>SUM(S53:S57)</f>
        <v>0</v>
      </c>
    </row>
    <row r="59" spans="1:25" s="3" customFormat="1" x14ac:dyDescent="0.3">
      <c r="A59" s="5" t="s">
        <v>77</v>
      </c>
      <c r="L59" s="3">
        <v>61165</v>
      </c>
      <c r="M59" s="3">
        <v>58471</v>
      </c>
      <c r="N59" s="3">
        <v>58026</v>
      </c>
      <c r="O59" s="3">
        <v>47614</v>
      </c>
      <c r="P59" s="3">
        <v>44616</v>
      </c>
    </row>
    <row r="60" spans="1:25" s="3" customFormat="1" x14ac:dyDescent="0.3">
      <c r="A60" s="5" t="s">
        <v>78</v>
      </c>
      <c r="L60" s="3">
        <v>15843</v>
      </c>
      <c r="M60" s="3">
        <v>14576</v>
      </c>
      <c r="N60" s="3">
        <v>13326</v>
      </c>
      <c r="O60" s="3">
        <v>12353</v>
      </c>
      <c r="P60" s="3">
        <v>11076</v>
      </c>
    </row>
    <row r="61" spans="1:25" s="3" customFormat="1" x14ac:dyDescent="0.3">
      <c r="A61" s="5" t="s">
        <v>79</v>
      </c>
      <c r="L61" s="3">
        <v>570</v>
      </c>
      <c r="M61" s="3">
        <v>380</v>
      </c>
      <c r="N61" s="3">
        <v>190</v>
      </c>
      <c r="O61" s="3">
        <v>0</v>
      </c>
    </row>
    <row r="62" spans="1:25" s="3" customFormat="1" x14ac:dyDescent="0.3">
      <c r="A62" s="5" t="s">
        <v>80</v>
      </c>
      <c r="L62" s="3">
        <v>27066</v>
      </c>
      <c r="M62" s="3">
        <v>31311</v>
      </c>
      <c r="N62" s="3">
        <v>35774</v>
      </c>
      <c r="O62" s="3">
        <v>34823</v>
      </c>
      <c r="P62" s="3">
        <v>39058</v>
      </c>
    </row>
    <row r="63" spans="1:25" s="3" customFormat="1" x14ac:dyDescent="0.3">
      <c r="A63" s="5" t="s">
        <v>81</v>
      </c>
      <c r="L63" s="3">
        <v>34747</v>
      </c>
      <c r="M63" s="3">
        <v>30563</v>
      </c>
      <c r="N63" s="3">
        <v>25867</v>
      </c>
      <c r="O63" s="3">
        <v>35363</v>
      </c>
      <c r="P63" s="3">
        <v>33104</v>
      </c>
    </row>
    <row r="64" spans="1:25" s="22" customFormat="1" x14ac:dyDescent="0.3">
      <c r="A64" s="23" t="s">
        <v>82</v>
      </c>
      <c r="L64" s="22">
        <f t="shared" ref="L64:N64" si="240">SUM(L59:L63)+L58</f>
        <v>846439</v>
      </c>
      <c r="M64" s="22">
        <f t="shared" si="240"/>
        <v>898341</v>
      </c>
      <c r="N64" s="22">
        <f t="shared" si="240"/>
        <v>718949</v>
      </c>
      <c r="O64" s="22">
        <f>SUM(O59:O63)+O58</f>
        <v>750122</v>
      </c>
      <c r="P64" s="22">
        <f t="shared" ref="P64:S64" si="241">SUM(P59:P63)+P58</f>
        <v>723711</v>
      </c>
      <c r="Q64" s="22">
        <f t="shared" si="241"/>
        <v>0</v>
      </c>
      <c r="R64" s="22">
        <f t="shared" si="241"/>
        <v>0</v>
      </c>
      <c r="S64" s="22">
        <f t="shared" si="241"/>
        <v>0</v>
      </c>
    </row>
    <row r="65" spans="1:19" s="3" customFormat="1" x14ac:dyDescent="0.3">
      <c r="A65" s="5" t="s">
        <v>83</v>
      </c>
      <c r="L65" s="3">
        <v>38454</v>
      </c>
      <c r="M65" s="3">
        <v>67171</v>
      </c>
      <c r="N65" s="3">
        <v>80011</v>
      </c>
      <c r="O65" s="3">
        <v>76860</v>
      </c>
      <c r="P65" s="3">
        <v>45206</v>
      </c>
    </row>
    <row r="66" spans="1:19" s="3" customFormat="1" x14ac:dyDescent="0.3">
      <c r="A66" s="5" t="s">
        <v>84</v>
      </c>
      <c r="L66" s="3">
        <v>47014</v>
      </c>
      <c r="M66" s="3">
        <v>48289</v>
      </c>
      <c r="N66" s="3">
        <v>48447</v>
      </c>
      <c r="O66" s="3">
        <v>71933</v>
      </c>
      <c r="P66" s="3">
        <v>58071</v>
      </c>
    </row>
    <row r="67" spans="1:19" s="3" customFormat="1" x14ac:dyDescent="0.3">
      <c r="A67" s="5" t="s">
        <v>85</v>
      </c>
      <c r="L67" s="3">
        <v>38556</v>
      </c>
      <c r="M67" s="3">
        <v>39605</v>
      </c>
      <c r="N67" s="3">
        <v>37862</v>
      </c>
      <c r="O67" s="3">
        <v>40304</v>
      </c>
      <c r="P67" s="3">
        <v>43912</v>
      </c>
    </row>
    <row r="68" spans="1:19" s="3" customFormat="1" x14ac:dyDescent="0.3">
      <c r="A68" s="5" t="s">
        <v>86</v>
      </c>
      <c r="L68" s="3">
        <v>5474</v>
      </c>
      <c r="M68" s="3">
        <v>5439</v>
      </c>
      <c r="N68" s="3">
        <v>5392</v>
      </c>
      <c r="O68" s="3">
        <v>5230</v>
      </c>
      <c r="P68" s="3">
        <v>4995</v>
      </c>
    </row>
    <row r="69" spans="1:19" s="3" customFormat="1" x14ac:dyDescent="0.3">
      <c r="A69" s="5" t="s">
        <v>87</v>
      </c>
      <c r="L69" s="3">
        <v>984</v>
      </c>
      <c r="M69" s="3">
        <v>234693</v>
      </c>
      <c r="N69" s="3">
        <v>2253</v>
      </c>
      <c r="O69" s="3">
        <v>2137</v>
      </c>
      <c r="P69" s="3">
        <v>809</v>
      </c>
    </row>
    <row r="70" spans="1:19" s="22" customFormat="1" x14ac:dyDescent="0.3">
      <c r="A70" s="23" t="s">
        <v>88</v>
      </c>
      <c r="L70" s="22">
        <f t="shared" ref="L70:N70" si="242">SUM(L65:L69)</f>
        <v>130482</v>
      </c>
      <c r="M70" s="22">
        <f t="shared" si="242"/>
        <v>395197</v>
      </c>
      <c r="N70" s="22">
        <f t="shared" si="242"/>
        <v>173965</v>
      </c>
      <c r="O70" s="22">
        <f>SUM(O65:O69)</f>
        <v>196464</v>
      </c>
      <c r="P70" s="22">
        <f t="shared" ref="P70:S70" si="243">SUM(P65:P69)</f>
        <v>152993</v>
      </c>
      <c r="Q70" s="22">
        <f t="shared" si="243"/>
        <v>0</v>
      </c>
      <c r="R70" s="22">
        <f t="shared" si="243"/>
        <v>0</v>
      </c>
      <c r="S70" s="22">
        <f t="shared" si="243"/>
        <v>0</v>
      </c>
    </row>
    <row r="71" spans="1:19" s="3" customFormat="1" x14ac:dyDescent="0.3">
      <c r="A71" s="5" t="s">
        <v>89</v>
      </c>
      <c r="L71" s="3">
        <v>12554</v>
      </c>
      <c r="M71" s="3">
        <v>11141</v>
      </c>
      <c r="N71" s="3">
        <v>9829</v>
      </c>
      <c r="O71" s="3">
        <v>8938</v>
      </c>
      <c r="P71" s="3">
        <v>7792</v>
      </c>
    </row>
    <row r="72" spans="1:19" s="3" customFormat="1" x14ac:dyDescent="0.3">
      <c r="A72" s="5" t="s">
        <v>85</v>
      </c>
      <c r="L72" s="3">
        <v>3220</v>
      </c>
      <c r="M72" s="3">
        <v>2812</v>
      </c>
      <c r="N72" s="3">
        <v>2613</v>
      </c>
      <c r="O72" s="3">
        <v>2931</v>
      </c>
      <c r="P72" s="3">
        <v>2721</v>
      </c>
    </row>
    <row r="73" spans="1:19" s="3" customFormat="1" x14ac:dyDescent="0.3">
      <c r="A73" s="5" t="s">
        <v>90</v>
      </c>
      <c r="L73" s="3">
        <v>6020</v>
      </c>
      <c r="M73" s="3">
        <v>6884</v>
      </c>
      <c r="N73" s="3">
        <v>6271</v>
      </c>
      <c r="O73" s="3">
        <v>6916</v>
      </c>
      <c r="P73" s="3">
        <v>7673</v>
      </c>
    </row>
    <row r="74" spans="1:19" s="22" customFormat="1" x14ac:dyDescent="0.3">
      <c r="A74" s="23" t="s">
        <v>91</v>
      </c>
      <c r="L74" s="22">
        <f t="shared" ref="L74:N74" si="244">SUM(L71:L73)+L70</f>
        <v>152276</v>
      </c>
      <c r="M74" s="22">
        <f t="shared" si="244"/>
        <v>416034</v>
      </c>
      <c r="N74" s="22">
        <f t="shared" si="244"/>
        <v>192678</v>
      </c>
      <c r="O74" s="22">
        <f>SUM(O71:O73)+O70</f>
        <v>215249</v>
      </c>
      <c r="P74" s="22">
        <f t="shared" ref="P74:S74" si="245">SUM(P71:P73)+P70</f>
        <v>171179</v>
      </c>
      <c r="Q74" s="22">
        <f t="shared" si="245"/>
        <v>0</v>
      </c>
      <c r="R74" s="22">
        <f t="shared" si="245"/>
        <v>0</v>
      </c>
      <c r="S74" s="22">
        <f t="shared" si="245"/>
        <v>0</v>
      </c>
    </row>
    <row r="75" spans="1:19" s="3" customFormat="1" x14ac:dyDescent="0.3">
      <c r="A75" s="5" t="s">
        <v>92</v>
      </c>
      <c r="L75" s="3">
        <v>694163</v>
      </c>
      <c r="M75" s="3">
        <v>482307</v>
      </c>
      <c r="N75" s="3">
        <v>526271</v>
      </c>
      <c r="O75" s="3">
        <v>534873</v>
      </c>
      <c r="P75" s="3">
        <v>555572</v>
      </c>
    </row>
    <row r="76" spans="1:19" s="22" customFormat="1" x14ac:dyDescent="0.3">
      <c r="A76" s="23" t="s">
        <v>93</v>
      </c>
      <c r="L76" s="22">
        <f t="shared" ref="L76:N76" si="246">L75+L74</f>
        <v>846439</v>
      </c>
      <c r="M76" s="22">
        <f t="shared" si="246"/>
        <v>898341</v>
      </c>
      <c r="N76" s="22">
        <f t="shared" si="246"/>
        <v>718949</v>
      </c>
      <c r="O76" s="22">
        <f>O75+O74</f>
        <v>750122</v>
      </c>
      <c r="P76" s="22">
        <f t="shared" ref="P76:S76" si="247">P75+P74</f>
        <v>726751</v>
      </c>
      <c r="Q76" s="22">
        <f t="shared" si="247"/>
        <v>0</v>
      </c>
      <c r="R76" s="22">
        <f t="shared" si="247"/>
        <v>0</v>
      </c>
      <c r="S76" s="22">
        <f t="shared" si="247"/>
        <v>0</v>
      </c>
    </row>
    <row r="78" spans="1:19" s="3" customFormat="1" x14ac:dyDescent="0.3">
      <c r="A78" s="5" t="s">
        <v>101</v>
      </c>
      <c r="L78" s="3">
        <f>L20*(1-L42)</f>
        <v>7458.9980535658678</v>
      </c>
      <c r="M78" s="3">
        <f>M20*(1-M42)</f>
        <v>13445.882917048079</v>
      </c>
      <c r="N78" s="3">
        <f>N20*(1-N42)</f>
        <v>15990.929845189105</v>
      </c>
      <c r="O78" s="3">
        <f>O20*(1-O42)</f>
        <v>10088.539306389655</v>
      </c>
      <c r="P78" s="3">
        <f>P20*(1-P42)</f>
        <v>17504.511664899255</v>
      </c>
    </row>
    <row r="79" spans="1:19" s="3" customFormat="1" x14ac:dyDescent="0.3">
      <c r="A79" s="5" t="s">
        <v>99</v>
      </c>
      <c r="L79" s="3">
        <f t="shared" ref="L79:N79" si="248">L64-L70</f>
        <v>715957</v>
      </c>
      <c r="M79" s="3">
        <f t="shared" si="248"/>
        <v>503144</v>
      </c>
      <c r="N79" s="3">
        <f t="shared" si="248"/>
        <v>544984</v>
      </c>
      <c r="O79" s="3">
        <f>O64-O70</f>
        <v>553658</v>
      </c>
      <c r="P79" s="3">
        <f>P64-P70</f>
        <v>570718</v>
      </c>
    </row>
    <row r="80" spans="1:19" s="3" customFormat="1" x14ac:dyDescent="0.3">
      <c r="A80" s="5" t="s">
        <v>100</v>
      </c>
      <c r="L80" s="3">
        <f t="shared" ref="L80:N80" si="249">L52+L75-L51</f>
        <v>405843</v>
      </c>
      <c r="M80" s="3">
        <f t="shared" si="249"/>
        <v>372095</v>
      </c>
      <c r="N80" s="3">
        <f t="shared" si="249"/>
        <v>370118</v>
      </c>
      <c r="O80" s="3">
        <f>O52+O75-O51</f>
        <v>306039</v>
      </c>
      <c r="P80" s="3">
        <f>P52+P75-P51</f>
        <v>287473</v>
      </c>
    </row>
    <row r="82" spans="1:16" s="3" customFormat="1" x14ac:dyDescent="0.3">
      <c r="A82" s="5" t="s">
        <v>112</v>
      </c>
      <c r="P82" s="3">
        <f>P27</f>
        <v>19647</v>
      </c>
    </row>
    <row r="83" spans="1:16" s="3" customFormat="1" x14ac:dyDescent="0.3">
      <c r="A83" s="5" t="s">
        <v>113</v>
      </c>
      <c r="P83" s="3">
        <v>7496</v>
      </c>
    </row>
    <row r="84" spans="1:16" s="3" customFormat="1" x14ac:dyDescent="0.3">
      <c r="A84" s="5" t="s">
        <v>114</v>
      </c>
      <c r="P84" s="3">
        <v>992</v>
      </c>
    </row>
    <row r="85" spans="1:16" s="3" customFormat="1" x14ac:dyDescent="0.3">
      <c r="A85" s="5" t="s">
        <v>115</v>
      </c>
      <c r="P85" s="3">
        <v>0</v>
      </c>
    </row>
    <row r="86" spans="1:16" s="3" customFormat="1" x14ac:dyDescent="0.3">
      <c r="A86" s="5" t="s">
        <v>116</v>
      </c>
      <c r="P86" s="3">
        <v>10757</v>
      </c>
    </row>
    <row r="87" spans="1:16" s="3" customFormat="1" x14ac:dyDescent="0.3">
      <c r="A87" s="5" t="s">
        <v>80</v>
      </c>
      <c r="P87" s="3">
        <v>-4140</v>
      </c>
    </row>
    <row r="88" spans="1:16" s="3" customFormat="1" x14ac:dyDescent="0.3">
      <c r="A88" s="5" t="s">
        <v>117</v>
      </c>
      <c r="P88" s="3">
        <v>1272</v>
      </c>
    </row>
    <row r="89" spans="1:16" s="3" customFormat="1" x14ac:dyDescent="0.3">
      <c r="A89" s="5" t="s">
        <v>118</v>
      </c>
      <c r="P89" s="3">
        <v>605</v>
      </c>
    </row>
    <row r="90" spans="1:16" s="3" customFormat="1" x14ac:dyDescent="0.3">
      <c r="A90" s="5" t="s">
        <v>119</v>
      </c>
      <c r="P90" s="3">
        <v>563</v>
      </c>
    </row>
    <row r="91" spans="1:16" s="3" customFormat="1" x14ac:dyDescent="0.3">
      <c r="A91" s="5" t="s">
        <v>120</v>
      </c>
      <c r="P91" s="3">
        <v>-739</v>
      </c>
    </row>
    <row r="92" spans="1:16" s="3" customFormat="1" x14ac:dyDescent="0.3">
      <c r="A92" s="5" t="s">
        <v>73</v>
      </c>
      <c r="P92" s="3">
        <v>32011</v>
      </c>
    </row>
    <row r="93" spans="1:16" s="3" customFormat="1" x14ac:dyDescent="0.3">
      <c r="A93" s="5" t="s">
        <v>74</v>
      </c>
      <c r="P93" s="3">
        <v>20849</v>
      </c>
    </row>
    <row r="94" spans="1:16" s="3" customFormat="1" x14ac:dyDescent="0.3">
      <c r="A94" s="5" t="s">
        <v>75</v>
      </c>
      <c r="P94" s="3">
        <v>8497</v>
      </c>
    </row>
    <row r="95" spans="1:16" s="3" customFormat="1" x14ac:dyDescent="0.3">
      <c r="A95" s="5" t="s">
        <v>81</v>
      </c>
      <c r="P95" s="3">
        <v>259</v>
      </c>
    </row>
    <row r="96" spans="1:16" s="3" customFormat="1" x14ac:dyDescent="0.3">
      <c r="A96" s="5" t="s">
        <v>83</v>
      </c>
      <c r="P96" s="3">
        <v>-31096</v>
      </c>
    </row>
    <row r="97" spans="1:16" s="3" customFormat="1" x14ac:dyDescent="0.3">
      <c r="A97" s="5" t="s">
        <v>84</v>
      </c>
      <c r="P97" s="3">
        <v>-12280</v>
      </c>
    </row>
    <row r="98" spans="1:16" s="3" customFormat="1" x14ac:dyDescent="0.3">
      <c r="A98" s="5" t="s">
        <v>86</v>
      </c>
      <c r="P98" s="3">
        <v>-1403</v>
      </c>
    </row>
    <row r="99" spans="1:16" s="3" customFormat="1" x14ac:dyDescent="0.3">
      <c r="A99" s="5" t="s">
        <v>121</v>
      </c>
      <c r="P99" s="3">
        <v>3398</v>
      </c>
    </row>
    <row r="100" spans="1:16" s="22" customFormat="1" x14ac:dyDescent="0.3">
      <c r="A100" s="23" t="s">
        <v>122</v>
      </c>
      <c r="P100" s="22">
        <f>SUM(P82:P99)</f>
        <v>56688</v>
      </c>
    </row>
    <row r="101" spans="1:16" s="3" customFormat="1" x14ac:dyDescent="0.3">
      <c r="A101" s="5" t="s">
        <v>124</v>
      </c>
      <c r="P101" s="3">
        <v>-25442</v>
      </c>
    </row>
    <row r="102" spans="1:16" s="3" customFormat="1" x14ac:dyDescent="0.3">
      <c r="A102" s="5" t="s">
        <v>125</v>
      </c>
      <c r="P102" s="3">
        <v>25440</v>
      </c>
    </row>
    <row r="103" spans="1:16" s="3" customFormat="1" x14ac:dyDescent="0.3">
      <c r="A103" s="5" t="s">
        <v>126</v>
      </c>
      <c r="P103" s="3">
        <v>-5117</v>
      </c>
    </row>
    <row r="104" spans="1:16" s="22" customFormat="1" x14ac:dyDescent="0.3">
      <c r="A104" s="23" t="s">
        <v>123</v>
      </c>
      <c r="P104" s="22">
        <f>SUM(P101:P103)</f>
        <v>-5119</v>
      </c>
    </row>
    <row r="105" spans="1:16" s="3" customFormat="1" x14ac:dyDescent="0.3">
      <c r="A105" s="5" t="s">
        <v>127</v>
      </c>
      <c r="P105" s="3">
        <v>-10795</v>
      </c>
    </row>
    <row r="106" spans="1:16" s="3" customFormat="1" x14ac:dyDescent="0.3">
      <c r="A106" s="5" t="s">
        <v>128</v>
      </c>
      <c r="P106" s="3">
        <v>0</v>
      </c>
    </row>
    <row r="107" spans="1:16" s="3" customFormat="1" x14ac:dyDescent="0.3">
      <c r="A107" s="5" t="s">
        <v>129</v>
      </c>
      <c r="P107" s="3">
        <v>-2408</v>
      </c>
    </row>
    <row r="108" spans="1:16" s="3" customFormat="1" x14ac:dyDescent="0.3">
      <c r="A108" s="5" t="s">
        <v>130</v>
      </c>
      <c r="P108" s="3">
        <v>-1439</v>
      </c>
    </row>
    <row r="109" spans="1:16" s="22" customFormat="1" x14ac:dyDescent="0.3">
      <c r="A109" s="23" t="s">
        <v>131</v>
      </c>
      <c r="P109" s="22">
        <f>SUM(P105:P108)</f>
        <v>-14642</v>
      </c>
    </row>
    <row r="110" spans="1:16" s="3" customFormat="1" x14ac:dyDescent="0.3">
      <c r="A110" s="5" t="s">
        <v>132</v>
      </c>
      <c r="P110" s="3">
        <v>-122</v>
      </c>
    </row>
    <row r="111" spans="1:16" s="3" customFormat="1" x14ac:dyDescent="0.3">
      <c r="A111" s="5" t="s">
        <v>133</v>
      </c>
      <c r="P111" s="3">
        <v>36805</v>
      </c>
    </row>
    <row r="112" spans="1:16" s="3" customFormat="1" x14ac:dyDescent="0.3">
      <c r="A112" s="5" t="s">
        <v>134</v>
      </c>
      <c r="P112" s="3">
        <v>142187</v>
      </c>
    </row>
    <row r="113" spans="1:16" s="21" customFormat="1" x14ac:dyDescent="0.3">
      <c r="A113" s="44" t="s">
        <v>135</v>
      </c>
      <c r="P113" s="21">
        <f>SUM(P111:P112)</f>
        <v>178992</v>
      </c>
    </row>
    <row r="114" spans="1:16" s="3" customFormat="1" x14ac:dyDescent="0.3">
      <c r="A114" s="5"/>
    </row>
    <row r="115" spans="1:16" s="50" customFormat="1" x14ac:dyDescent="0.3">
      <c r="A115" s="51" t="s">
        <v>136</v>
      </c>
      <c r="P115" s="50">
        <f>P109+P104+P100</f>
        <v>36927</v>
      </c>
    </row>
    <row r="116" spans="1:16" s="39" customFormat="1" x14ac:dyDescent="0.3">
      <c r="A116" s="52" t="s">
        <v>137</v>
      </c>
      <c r="P116" s="39">
        <f>P100+P103</f>
        <v>51571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2024-05-27T23:38:14Z</dcterms:modified>
</cp:coreProperties>
</file>