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/>
  <mc:AlternateContent xmlns:mc="http://schemas.openxmlformats.org/markup-compatibility/2006">
    <mc:Choice Requires="x15">
      <x15ac:absPath xmlns:x15ac="http://schemas.microsoft.com/office/spreadsheetml/2010/11/ac" url="https://d.docs.live.net/c057fd7477d87051/Desktop/Kaupandi ehf/Greiningar/"/>
    </mc:Choice>
  </mc:AlternateContent>
  <xr:revisionPtr revIDLastSave="21" documentId="8_{2D22F723-D334-40B3-A559-04A915BDA973}" xr6:coauthVersionLast="47" xr6:coauthVersionMax="47" xr10:uidLastSave="{E770F7B6-414F-41D3-82D5-50A7892CE77F}"/>
  <bookViews>
    <workbookView xWindow="-120" yWindow="-120" windowWidth="29040" windowHeight="16440" firstSheet="1" activeTab="1" xr2:uid="{5DD14AA8-D3DD-4E7F-BDF4-BAF57A316972}"/>
  </bookViews>
  <sheets>
    <sheet name="CVBF" sheetId="1" r:id="rId1"/>
    <sheet name="Model" sheetId="2" r:id="rId2"/>
    <sheet name="Abou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0" i="2" l="1"/>
  <c r="H22" i="2"/>
  <c r="H23" i="2" s="1"/>
  <c r="I82" i="2"/>
  <c r="H82" i="2"/>
  <c r="G82" i="2"/>
  <c r="J82" i="2"/>
  <c r="I83" i="2"/>
  <c r="H83" i="2"/>
  <c r="G83" i="2"/>
  <c r="F83" i="2"/>
  <c r="E83" i="2"/>
  <c r="D83" i="2"/>
  <c r="J83" i="2"/>
  <c r="M82" i="2"/>
  <c r="L80" i="2"/>
  <c r="J80" i="2"/>
  <c r="I80" i="2"/>
  <c r="H80" i="2"/>
  <c r="G80" i="2"/>
  <c r="F80" i="2"/>
  <c r="E80" i="2"/>
  <c r="D80" i="2"/>
  <c r="C80" i="2"/>
  <c r="L79" i="2"/>
  <c r="J79" i="2"/>
  <c r="I79" i="2"/>
  <c r="H79" i="2"/>
  <c r="G79" i="2"/>
  <c r="F79" i="2"/>
  <c r="E79" i="2"/>
  <c r="D79" i="2"/>
  <c r="C79" i="2"/>
  <c r="L78" i="2"/>
  <c r="J78" i="2"/>
  <c r="I78" i="2"/>
  <c r="H78" i="2"/>
  <c r="G78" i="2"/>
  <c r="F78" i="2"/>
  <c r="E78" i="2"/>
  <c r="D78" i="2"/>
  <c r="C78" i="2"/>
  <c r="L77" i="2"/>
  <c r="J77" i="2"/>
  <c r="I77" i="2"/>
  <c r="H77" i="2"/>
  <c r="G77" i="2"/>
  <c r="F77" i="2"/>
  <c r="E77" i="2"/>
  <c r="D77" i="2"/>
  <c r="C77" i="2"/>
  <c r="M79" i="2"/>
  <c r="M77" i="2"/>
  <c r="M80" i="2"/>
  <c r="M78" i="2"/>
  <c r="J64" i="2"/>
  <c r="I64" i="2"/>
  <c r="H64" i="2"/>
  <c r="G64" i="2"/>
  <c r="F64" i="2"/>
  <c r="E64" i="2"/>
  <c r="D64" i="2"/>
  <c r="C64" i="2"/>
  <c r="M28" i="2"/>
  <c r="L28" i="2"/>
  <c r="L29" i="2" s="1"/>
  <c r="M71" i="2"/>
  <c r="L71" i="2"/>
  <c r="L62" i="2"/>
  <c r="L60" i="2"/>
  <c r="L51" i="2"/>
  <c r="L46" i="2"/>
  <c r="J67" i="2"/>
  <c r="M67" i="2" s="1"/>
  <c r="J63" i="2"/>
  <c r="M63" i="2" s="1"/>
  <c r="J61" i="2"/>
  <c r="M61" i="2" s="1"/>
  <c r="J60" i="2"/>
  <c r="M60" i="2" s="1"/>
  <c r="J59" i="2"/>
  <c r="M59" i="2" s="1"/>
  <c r="J58" i="2"/>
  <c r="M58" i="2" s="1"/>
  <c r="J57" i="2"/>
  <c r="M57" i="2" s="1"/>
  <c r="J56" i="2"/>
  <c r="M56" i="2" s="1"/>
  <c r="J55" i="2"/>
  <c r="M55" i="2" s="1"/>
  <c r="J52" i="2"/>
  <c r="M52" i="2" s="1"/>
  <c r="J50" i="2"/>
  <c r="M50" i="2" s="1"/>
  <c r="J49" i="2"/>
  <c r="M49" i="2" s="1"/>
  <c r="J48" i="2"/>
  <c r="M48" i="2" s="1"/>
  <c r="J47" i="2"/>
  <c r="M47" i="2" s="1"/>
  <c r="J44" i="2"/>
  <c r="M44" i="2" s="1"/>
  <c r="J41" i="2"/>
  <c r="M41" i="2" s="1"/>
  <c r="J40" i="2"/>
  <c r="M40" i="2" s="1"/>
  <c r="J38" i="2"/>
  <c r="M38" i="2" s="1"/>
  <c r="J37" i="2"/>
  <c r="M37" i="2" s="1"/>
  <c r="J35" i="2"/>
  <c r="M35" i="2" s="1"/>
  <c r="J34" i="2"/>
  <c r="M34" i="2" s="1"/>
  <c r="J33" i="2"/>
  <c r="M33" i="2" s="1"/>
  <c r="J70" i="2"/>
  <c r="M70" i="2" s="1"/>
  <c r="J69" i="2"/>
  <c r="M69" i="2" s="1"/>
  <c r="F70" i="2"/>
  <c r="L70" i="2" s="1"/>
  <c r="F69" i="2"/>
  <c r="L69" i="2" s="1"/>
  <c r="H72" i="2"/>
  <c r="I72" i="2"/>
  <c r="G72" i="2"/>
  <c r="E72" i="2"/>
  <c r="D72" i="2"/>
  <c r="C72" i="2"/>
  <c r="F67" i="2"/>
  <c r="L67" i="2" s="1"/>
  <c r="F63" i="2"/>
  <c r="L63" i="2" s="1"/>
  <c r="F61" i="2"/>
  <c r="L61" i="2" s="1"/>
  <c r="F59" i="2"/>
  <c r="L59" i="2" s="1"/>
  <c r="F58" i="2"/>
  <c r="L58" i="2" s="1"/>
  <c r="F57" i="2"/>
  <c r="L57" i="2" s="1"/>
  <c r="F56" i="2"/>
  <c r="L56" i="2" s="1"/>
  <c r="F55" i="2"/>
  <c r="L55" i="2" s="1"/>
  <c r="F52" i="2"/>
  <c r="L52" i="2" s="1"/>
  <c r="F50" i="2"/>
  <c r="L50" i="2" s="1"/>
  <c r="F49" i="2"/>
  <c r="L49" i="2" s="1"/>
  <c r="F48" i="2"/>
  <c r="L48" i="2" s="1"/>
  <c r="F47" i="2"/>
  <c r="L47" i="2" s="1"/>
  <c r="F44" i="2"/>
  <c r="L44" i="2" s="1"/>
  <c r="F41" i="2"/>
  <c r="L41" i="2" s="1"/>
  <c r="F40" i="2"/>
  <c r="L40" i="2" s="1"/>
  <c r="F38" i="2"/>
  <c r="L38" i="2" s="1"/>
  <c r="F37" i="2"/>
  <c r="L37" i="2" s="1"/>
  <c r="F35" i="2"/>
  <c r="L35" i="2" s="1"/>
  <c r="F34" i="2"/>
  <c r="L34" i="2" s="1"/>
  <c r="F33" i="2"/>
  <c r="L33" i="2" s="1"/>
  <c r="F32" i="2"/>
  <c r="C65" i="2"/>
  <c r="C53" i="2"/>
  <c r="C42" i="2"/>
  <c r="C36" i="2"/>
  <c r="C39" i="2" s="1"/>
  <c r="G65" i="2"/>
  <c r="G53" i="2"/>
  <c r="G42" i="2"/>
  <c r="G36" i="2"/>
  <c r="G39" i="2" s="1"/>
  <c r="E65" i="2"/>
  <c r="E53" i="2"/>
  <c r="E42" i="2"/>
  <c r="E36" i="2"/>
  <c r="E39" i="2" s="1"/>
  <c r="H65" i="2"/>
  <c r="H53" i="2"/>
  <c r="H42" i="2"/>
  <c r="H36" i="2"/>
  <c r="H39" i="2" s="1"/>
  <c r="I65" i="2"/>
  <c r="I53" i="2"/>
  <c r="I42" i="2"/>
  <c r="I36" i="2"/>
  <c r="I39" i="2" s="1"/>
  <c r="D65" i="2"/>
  <c r="D53" i="2"/>
  <c r="D42" i="2"/>
  <c r="D36" i="2"/>
  <c r="D39" i="2" s="1"/>
  <c r="H15" i="2"/>
  <c r="H21" i="2" s="1"/>
  <c r="H10" i="2"/>
  <c r="H6" i="2"/>
  <c r="H5" i="2"/>
  <c r="H3" i="2"/>
  <c r="I15" i="2"/>
  <c r="I21" i="2" s="1"/>
  <c r="I10" i="2"/>
  <c r="I6" i="2"/>
  <c r="I5" i="2"/>
  <c r="M3" i="2"/>
  <c r="I3" i="2"/>
  <c r="L8" i="1"/>
  <c r="L7" i="1"/>
  <c r="M6" i="2"/>
  <c r="M21" i="2"/>
  <c r="M10" i="2"/>
  <c r="M5" i="2"/>
  <c r="L4" i="1"/>
  <c r="M29" i="2" l="1"/>
  <c r="J53" i="2"/>
  <c r="M53" i="2" s="1"/>
  <c r="J42" i="2"/>
  <c r="M42" i="2" s="1"/>
  <c r="J72" i="2"/>
  <c r="F72" i="2"/>
  <c r="L72" i="2" s="1"/>
  <c r="J36" i="2"/>
  <c r="M36" i="2" s="1"/>
  <c r="J65" i="2"/>
  <c r="M65" i="2" s="1"/>
  <c r="F65" i="2"/>
  <c r="L65" i="2" s="1"/>
  <c r="J39" i="2"/>
  <c r="M39" i="2" s="1"/>
  <c r="M72" i="2"/>
  <c r="H43" i="2"/>
  <c r="H45" i="2" s="1"/>
  <c r="H66" i="2" s="1"/>
  <c r="H68" i="2" s="1"/>
  <c r="H74" i="2" s="1"/>
  <c r="F39" i="2"/>
  <c r="L39" i="2" s="1"/>
  <c r="H13" i="2"/>
  <c r="F42" i="2"/>
  <c r="L42" i="2" s="1"/>
  <c r="F53" i="2"/>
  <c r="L53" i="2" s="1"/>
  <c r="I13" i="2"/>
  <c r="I22" i="2" s="1"/>
  <c r="I23" i="2" s="1"/>
  <c r="F36" i="2"/>
  <c r="L36" i="2" s="1"/>
  <c r="C43" i="2"/>
  <c r="G43" i="2"/>
  <c r="E43" i="2"/>
  <c r="E45" i="2" s="1"/>
  <c r="E66" i="2" s="1"/>
  <c r="E68" i="2" s="1"/>
  <c r="I43" i="2"/>
  <c r="I45" i="2" s="1"/>
  <c r="I66" i="2" s="1"/>
  <c r="I68" i="2" s="1"/>
  <c r="D43" i="2"/>
  <c r="D45" i="2" s="1"/>
  <c r="D66" i="2" s="1"/>
  <c r="D68" i="2" s="1"/>
  <c r="D74" i="2" s="1"/>
  <c r="M13" i="2"/>
  <c r="M22" i="2" s="1"/>
  <c r="M23" i="2" s="1"/>
  <c r="L64" i="2" l="1"/>
  <c r="M64" i="2"/>
  <c r="H73" i="2"/>
  <c r="E74" i="2"/>
  <c r="E73" i="2"/>
  <c r="D73" i="2"/>
  <c r="G45" i="2"/>
  <c r="J43" i="2"/>
  <c r="M43" i="2" s="1"/>
  <c r="I74" i="2"/>
  <c r="I73" i="2"/>
  <c r="C45" i="2"/>
  <c r="F43" i="2"/>
  <c r="L43" i="2" s="1"/>
  <c r="G66" i="2" l="1"/>
  <c r="J45" i="2"/>
  <c r="M45" i="2" s="1"/>
  <c r="C66" i="2"/>
  <c r="F45" i="2"/>
  <c r="L45" i="2" s="1"/>
  <c r="G68" i="2" l="1"/>
  <c r="J66" i="2"/>
  <c r="M66" i="2" s="1"/>
  <c r="C68" i="2"/>
  <c r="F66" i="2"/>
  <c r="F68" i="2" s="1"/>
  <c r="F74" i="2" s="1"/>
  <c r="L68" i="2" l="1"/>
  <c r="L74" i="2" s="1"/>
  <c r="J68" i="2"/>
  <c r="J74" i="2" s="1"/>
  <c r="G74" i="2"/>
  <c r="G73" i="2"/>
  <c r="L66" i="2"/>
  <c r="C74" i="2"/>
  <c r="C73" i="2"/>
  <c r="F73" i="2" l="1"/>
  <c r="L73" i="2" s="1"/>
  <c r="J73" i="2"/>
  <c r="M73" i="2" s="1"/>
  <c r="M68" i="2"/>
  <c r="M74" i="2" s="1"/>
</calcChain>
</file>

<file path=xl/sharedStrings.xml><?xml version="1.0" encoding="utf-8"?>
<sst xmlns="http://schemas.openxmlformats.org/spreadsheetml/2006/main" count="139" uniqueCount="120">
  <si>
    <t>CVBF</t>
  </si>
  <si>
    <t>CVB Financial Corp operates as a bank holding company for Citizens Business Bank.</t>
  </si>
  <si>
    <t>Price</t>
  </si>
  <si>
    <t>Shares</t>
  </si>
  <si>
    <t>Q423</t>
  </si>
  <si>
    <t>Key Executives</t>
  </si>
  <si>
    <t>MC</t>
  </si>
  <si>
    <t>Cash</t>
  </si>
  <si>
    <t>Name</t>
  </si>
  <si>
    <t>Role</t>
  </si>
  <si>
    <t>Pay</t>
  </si>
  <si>
    <t>Born</t>
  </si>
  <si>
    <t>Debt</t>
  </si>
  <si>
    <t>David A. Brager</t>
  </si>
  <si>
    <t>President, CEO &amp; Director</t>
  </si>
  <si>
    <t>1.64M</t>
  </si>
  <si>
    <t>EV</t>
  </si>
  <si>
    <t>E. Allen Nicholson</t>
  </si>
  <si>
    <t>Exec. VP and CFO</t>
  </si>
  <si>
    <t>813.88K</t>
  </si>
  <si>
    <t>Net Cash</t>
  </si>
  <si>
    <t>Richard H. Wohl</t>
  </si>
  <si>
    <t>Exec. VP &amp; General Counsel</t>
  </si>
  <si>
    <t>547.53K</t>
  </si>
  <si>
    <t>David C. Harvey</t>
  </si>
  <si>
    <t>Exec. VP &amp; COO of Citizens Business Bank</t>
  </si>
  <si>
    <t>839.56k</t>
  </si>
  <si>
    <t>CEO</t>
  </si>
  <si>
    <t>David F. Farnsworth</t>
  </si>
  <si>
    <t>Exec. VP &amp; Chief Credit Officer of Citizens Busi</t>
  </si>
  <si>
    <t>637.4k</t>
  </si>
  <si>
    <t>Francene LaPoint CPA</t>
  </si>
  <si>
    <t>Snr VP &amp; Chief Accounting Officer</t>
  </si>
  <si>
    <t>Michael K. Currie</t>
  </si>
  <si>
    <t>Snr VP &amp; Chief Information Officer</t>
  </si>
  <si>
    <t>Yamynn DeAngelis</t>
  </si>
  <si>
    <t>Executive VP and Chief Risk Officer</t>
  </si>
  <si>
    <t>G. Larry Zivelonghi</t>
  </si>
  <si>
    <t>Exec. VP and Dairy &amp; Livestock Group Manager</t>
  </si>
  <si>
    <t>Robert Daniel Banis</t>
  </si>
  <si>
    <t>Exec. VP &amp; Head of CitizensTrust of Citizens Business Bank</t>
  </si>
  <si>
    <t>In thousands of dollars</t>
  </si>
  <si>
    <t>Q122</t>
  </si>
  <si>
    <t>Q222</t>
  </si>
  <si>
    <t>Q322</t>
  </si>
  <si>
    <t>Q422</t>
  </si>
  <si>
    <t>Q123</t>
  </si>
  <si>
    <t>Q223</t>
  </si>
  <si>
    <t>Q323</t>
  </si>
  <si>
    <t>Interest earning balances from depository institiutions</t>
  </si>
  <si>
    <t>Securities</t>
  </si>
  <si>
    <t>Loans</t>
  </si>
  <si>
    <t>P&amp;E</t>
  </si>
  <si>
    <t>BOLI</t>
  </si>
  <si>
    <t>Accrued interest</t>
  </si>
  <si>
    <t>Intangibles + Goodwill</t>
  </si>
  <si>
    <t>Taxes</t>
  </si>
  <si>
    <t>Other</t>
  </si>
  <si>
    <t>Assets</t>
  </si>
  <si>
    <t>Deposits</t>
  </si>
  <si>
    <t>Customer repurchase</t>
  </si>
  <si>
    <t>Deferred comp</t>
  </si>
  <si>
    <t>Accrued interest payable</t>
  </si>
  <si>
    <t>Other liabilities</t>
  </si>
  <si>
    <t>Liabilites</t>
  </si>
  <si>
    <t>BOOK VALUE</t>
  </si>
  <si>
    <t>TANGIBLE BOOK</t>
  </si>
  <si>
    <t>Common stock authorized</t>
  </si>
  <si>
    <t>Retained earnings</t>
  </si>
  <si>
    <t>Accumulated other compreh loss/income</t>
  </si>
  <si>
    <t>SE</t>
  </si>
  <si>
    <t>L &amp; SE</t>
  </si>
  <si>
    <t>Loans + Securities / Deposits</t>
  </si>
  <si>
    <t>Interest income</t>
  </si>
  <si>
    <t>Securities AFS</t>
  </si>
  <si>
    <t>Securities HTM</t>
  </si>
  <si>
    <t>Total investment income</t>
  </si>
  <si>
    <t>Dividends FHLB</t>
  </si>
  <si>
    <t>Interest earning deposits</t>
  </si>
  <si>
    <t>Total interest income</t>
  </si>
  <si>
    <t>Deposit expense</t>
  </si>
  <si>
    <t>Borriwings and customer repurchase aggrements</t>
  </si>
  <si>
    <t>Total interest expense</t>
  </si>
  <si>
    <t>Net interest income</t>
  </si>
  <si>
    <t>Credit losses</t>
  </si>
  <si>
    <t>Net interst income after losses</t>
  </si>
  <si>
    <t>Service charges</t>
  </si>
  <si>
    <t>Trust and investment services</t>
  </si>
  <si>
    <t>Bankcard services</t>
  </si>
  <si>
    <t>BOLI Income</t>
  </si>
  <si>
    <t>Gain on sale of building</t>
  </si>
  <si>
    <t>Total non interest income</t>
  </si>
  <si>
    <t>Salaries and employee benefit</t>
  </si>
  <si>
    <t>Occupancy and equipment</t>
  </si>
  <si>
    <t>Professional services</t>
  </si>
  <si>
    <t>Computer software expense</t>
  </si>
  <si>
    <t>Marketing and promotion</t>
  </si>
  <si>
    <t>Provision for unfunded loan commitments</t>
  </si>
  <si>
    <t>Amortization of intangibles</t>
  </si>
  <si>
    <t>Acquisition related expenses</t>
  </si>
  <si>
    <t>Operating income</t>
  </si>
  <si>
    <t>Total noninterest expense</t>
  </si>
  <si>
    <t>Pretax</t>
  </si>
  <si>
    <t>Net income</t>
  </si>
  <si>
    <t>Unrealized gain/loss on securities before tax</t>
  </si>
  <si>
    <t>Less: Income tax/(expense)</t>
  </si>
  <si>
    <t>Unrealized gain on derivatives</t>
  </si>
  <si>
    <t>Other comprehensive income/loss net of tax</t>
  </si>
  <si>
    <t>Comprehensive income/loss</t>
  </si>
  <si>
    <t>EPS</t>
  </si>
  <si>
    <t>Investment Margin %</t>
  </si>
  <si>
    <t>Operating Margin %</t>
  </si>
  <si>
    <t>Net Margin %</t>
  </si>
  <si>
    <t>Tax Rate %</t>
  </si>
  <si>
    <t>Revenue Y/Y</t>
  </si>
  <si>
    <t>Revenue Q/Q</t>
  </si>
  <si>
    <t>Provides banking and financial services to small to mid-sized business and individiuals.</t>
  </si>
  <si>
    <t>Checking, savings, money market &amp; time certificates of deposit products for business and indiv.</t>
  </si>
  <si>
    <t>Serves as a federal tax depository for business customers.</t>
  </si>
  <si>
    <t>Commercial lending, lines of credit and working capital financing, accounts receivable lending, and letters of credit; agriculture loans, dairy farm, cattle feeders, livestock raisers, and farmers. Lease fincing for municipal governments; commercial real estate and construction loans; and consumer financing; automobile leasing and financing, lines of credit, credit cards, home mortgages and home equity loans.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</si>
</sst>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E+00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0" fillId="0" borderId="0" xfId="0" applyNumberFormat="1"/>
    <xf numFmtId="0" fontId="3" fillId="0" borderId="0" xfId="0" applyFont="1"/>
    <xf numFmtId="0" fontId="1" fillId="0" borderId="0" xfId="0" applyFont="1"/>
    <xf numFmtId="3" fontId="1" fillId="0" borderId="0" xfId="0" applyNumberFormat="1" applyFont="1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0" fontId="0" fillId="0" borderId="0" xfId="0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/>
    <xf numFmtId="9" fontId="0" fillId="0" borderId="0" xfId="0" applyNumberFormat="1"/>
    <xf numFmtId="3" fontId="1" fillId="0" borderId="6" xfId="0" applyNumberFormat="1" applyFont="1" applyBorder="1"/>
    <xf numFmtId="0" fontId="1" fillId="0" borderId="6" xfId="0" applyFont="1" applyBorder="1"/>
    <xf numFmtId="3" fontId="0" fillId="0" borderId="6" xfId="0" applyNumberFormat="1" applyBorder="1"/>
    <xf numFmtId="3" fontId="1" fillId="0" borderId="7" xfId="0" applyNumberFormat="1" applyFont="1" applyBorder="1"/>
    <xf numFmtId="0" fontId="1" fillId="0" borderId="7" xfId="0" applyFont="1" applyBorder="1"/>
    <xf numFmtId="4" fontId="1" fillId="0" borderId="0" xfId="0" applyNumberFormat="1" applyFont="1"/>
    <xf numFmtId="164" fontId="0" fillId="0" borderId="0" xfId="0" applyNumberForma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93A0-6995-476E-855E-43CC3107D062}">
  <dimension ref="B1:M16"/>
  <sheetViews>
    <sheetView zoomScaleNormal="100" workbookViewId="0">
      <selection activeCell="E15" sqref="E15"/>
    </sheetView>
  </sheetViews>
  <sheetFormatPr defaultRowHeight="15"/>
  <cols>
    <col min="2" max="2" width="19.42578125" customWidth="1"/>
    <col min="3" max="3" width="52.140625" customWidth="1"/>
    <col min="10" max="10" width="5.7109375" customWidth="1"/>
    <col min="11" max="11" width="10.28515625" customWidth="1"/>
    <col min="12" max="12" width="14.85546875" customWidth="1"/>
  </cols>
  <sheetData>
    <row r="1" spans="2:13" ht="21.75" thickBot="1">
      <c r="K1" s="20" t="s">
        <v>0</v>
      </c>
      <c r="L1" s="21"/>
    </row>
    <row r="2" spans="2:13">
      <c r="B2" t="s">
        <v>1</v>
      </c>
      <c r="K2" s="7" t="s">
        <v>2</v>
      </c>
      <c r="L2" s="7">
        <v>16.21</v>
      </c>
    </row>
    <row r="3" spans="2:13">
      <c r="K3" s="5" t="s">
        <v>3</v>
      </c>
      <c r="L3" s="6">
        <v>139374.07199999999</v>
      </c>
      <c r="M3" s="2" t="s">
        <v>4</v>
      </c>
    </row>
    <row r="4" spans="2:13" ht="15.75">
      <c r="B4" s="9" t="s">
        <v>5</v>
      </c>
      <c r="K4" s="5" t="s">
        <v>6</v>
      </c>
      <c r="L4" s="6">
        <f>L3*L2</f>
        <v>2259253.7071199999</v>
      </c>
      <c r="M4" s="2"/>
    </row>
    <row r="5" spans="2:13">
      <c r="K5" s="5" t="s">
        <v>7</v>
      </c>
      <c r="L5" s="6">
        <v>281285</v>
      </c>
      <c r="M5" s="2" t="s">
        <v>4</v>
      </c>
    </row>
    <row r="6" spans="2:13" ht="15.75">
      <c r="B6" s="10" t="s">
        <v>8</v>
      </c>
      <c r="C6" s="10" t="s">
        <v>9</v>
      </c>
      <c r="D6" s="10" t="s">
        <v>10</v>
      </c>
      <c r="E6" s="11" t="s">
        <v>11</v>
      </c>
      <c r="K6" s="5" t="s">
        <v>12</v>
      </c>
      <c r="L6" s="6">
        <v>2070000</v>
      </c>
      <c r="M6" s="2" t="s">
        <v>4</v>
      </c>
    </row>
    <row r="7" spans="2:13">
      <c r="B7" s="5" t="s">
        <v>13</v>
      </c>
      <c r="C7" s="5" t="s">
        <v>14</v>
      </c>
      <c r="D7" s="5" t="s">
        <v>15</v>
      </c>
      <c r="E7">
        <v>1968</v>
      </c>
      <c r="K7" s="5" t="s">
        <v>16</v>
      </c>
      <c r="L7" s="6">
        <f>L4-L5+L6</f>
        <v>4047968.7071199999</v>
      </c>
    </row>
    <row r="8" spans="2:13">
      <c r="B8" s="5" t="s">
        <v>17</v>
      </c>
      <c r="C8" s="5" t="s">
        <v>18</v>
      </c>
      <c r="D8" s="5" t="s">
        <v>19</v>
      </c>
      <c r="E8">
        <v>167</v>
      </c>
      <c r="K8" s="5" t="s">
        <v>20</v>
      </c>
      <c r="L8" s="6">
        <f>L5-L6</f>
        <v>-1788715</v>
      </c>
    </row>
    <row r="9" spans="2:13">
      <c r="B9" s="5" t="s">
        <v>21</v>
      </c>
      <c r="C9" s="5" t="s">
        <v>22</v>
      </c>
      <c r="D9" s="5" t="s">
        <v>23</v>
      </c>
      <c r="E9">
        <v>1959</v>
      </c>
      <c r="K9" s="5"/>
      <c r="L9" s="5"/>
    </row>
    <row r="10" spans="2:13">
      <c r="B10" s="5" t="s">
        <v>24</v>
      </c>
      <c r="C10" s="5" t="s">
        <v>25</v>
      </c>
      <c r="D10" s="5" t="s">
        <v>26</v>
      </c>
      <c r="E10">
        <v>1968</v>
      </c>
      <c r="K10" s="5" t="s">
        <v>27</v>
      </c>
      <c r="L10" s="5" t="s">
        <v>13</v>
      </c>
    </row>
    <row r="11" spans="2:13">
      <c r="B11" s="5" t="s">
        <v>28</v>
      </c>
      <c r="C11" s="5" t="s">
        <v>29</v>
      </c>
      <c r="D11" s="5" t="s">
        <v>30</v>
      </c>
      <c r="E11">
        <v>1957</v>
      </c>
    </row>
    <row r="12" spans="2:13">
      <c r="B12" s="5" t="s">
        <v>31</v>
      </c>
      <c r="C12" s="5" t="s">
        <v>32</v>
      </c>
      <c r="D12" s="5"/>
      <c r="E12">
        <v>1965</v>
      </c>
    </row>
    <row r="13" spans="2:13">
      <c r="B13" s="5" t="s">
        <v>33</v>
      </c>
      <c r="C13" s="5" t="s">
        <v>34</v>
      </c>
      <c r="D13" s="5"/>
    </row>
    <row r="14" spans="2:13">
      <c r="B14" s="5" t="s">
        <v>35</v>
      </c>
      <c r="C14" s="5" t="s">
        <v>36</v>
      </c>
      <c r="D14" s="5"/>
      <c r="E14">
        <v>1957</v>
      </c>
    </row>
    <row r="15" spans="2:13">
      <c r="B15" s="5" t="s">
        <v>37</v>
      </c>
      <c r="C15" s="5" t="s">
        <v>38</v>
      </c>
      <c r="D15" s="5"/>
    </row>
    <row r="16" spans="2:13">
      <c r="B16" s="5" t="s">
        <v>39</v>
      </c>
      <c r="C16" s="5" t="s">
        <v>40</v>
      </c>
      <c r="D16" s="5"/>
    </row>
  </sheetData>
  <mergeCells count="1"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6A1D-F1E1-48FF-9640-0DC5FB3AB7AC}">
  <dimension ref="B1:AD83"/>
  <sheetViews>
    <sheetView tabSelected="1" zoomScale="145" zoomScaleNormal="145" workbookViewId="0">
      <pane xSplit="2" ySplit="2" topLeftCell="C3" activePane="bottomRight" state="frozen"/>
      <selection pane="bottomRight" activeCell="K11" sqref="K11"/>
      <selection pane="bottomLeft" activeCell="A3" sqref="A3"/>
      <selection pane="topRight" activeCell="C1" sqref="C1"/>
    </sheetView>
  </sheetViews>
  <sheetFormatPr defaultRowHeight="15"/>
  <cols>
    <col min="2" max="2" width="31.85546875" customWidth="1"/>
    <col min="8" max="8" width="11.85546875" customWidth="1"/>
    <col min="9" max="9" width="11.28515625" customWidth="1"/>
    <col min="10" max="12" width="10.42578125" customWidth="1"/>
    <col min="13" max="13" width="10.5703125" customWidth="1"/>
  </cols>
  <sheetData>
    <row r="1" spans="2:30">
      <c r="C1" s="2" t="s">
        <v>41</v>
      </c>
      <c r="F1" s="2" t="s">
        <v>41</v>
      </c>
      <c r="I1" s="2" t="s">
        <v>41</v>
      </c>
      <c r="L1" s="2" t="s">
        <v>41</v>
      </c>
      <c r="O1" s="2" t="s">
        <v>41</v>
      </c>
      <c r="R1" s="2" t="s">
        <v>41</v>
      </c>
      <c r="U1" s="2" t="s">
        <v>41</v>
      </c>
      <c r="X1" s="2" t="s">
        <v>41</v>
      </c>
      <c r="AA1" s="2" t="s">
        <v>41</v>
      </c>
      <c r="AD1" s="2" t="s">
        <v>41</v>
      </c>
    </row>
    <row r="2" spans="2:30"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</v>
      </c>
      <c r="L2">
        <v>2022</v>
      </c>
      <c r="M2">
        <v>2023</v>
      </c>
      <c r="N2">
        <v>2024</v>
      </c>
      <c r="O2">
        <v>2025</v>
      </c>
      <c r="P2">
        <v>2026</v>
      </c>
    </row>
    <row r="3" spans="2:30" s="1" customFormat="1">
      <c r="B3" s="4" t="s">
        <v>7</v>
      </c>
      <c r="H3" s="1">
        <f>231316+387039</f>
        <v>618355</v>
      </c>
      <c r="I3" s="1">
        <f>176488+64207</f>
        <v>240695</v>
      </c>
      <c r="M3" s="4">
        <f>171396+109889</f>
        <v>281285</v>
      </c>
    </row>
    <row r="4" spans="2:30" s="1" customFormat="1">
      <c r="B4" s="1" t="s">
        <v>49</v>
      </c>
      <c r="H4" s="1">
        <v>30478</v>
      </c>
      <c r="I4" s="1">
        <v>4108</v>
      </c>
      <c r="M4" s="1">
        <v>8216</v>
      </c>
    </row>
    <row r="5" spans="2:30" s="1" customFormat="1">
      <c r="B5" s="1" t="s">
        <v>50</v>
      </c>
      <c r="H5" s="1">
        <f>3068151+2512707</f>
        <v>5580858</v>
      </c>
      <c r="I5" s="1">
        <f>2873163+2489441</f>
        <v>5362604</v>
      </c>
      <c r="M5" s="1">
        <f>2956125+2464610</f>
        <v>5420735</v>
      </c>
    </row>
    <row r="6" spans="2:30" s="1" customFormat="1">
      <c r="B6" s="4" t="s">
        <v>51</v>
      </c>
      <c r="H6" s="1">
        <f>29484+8907397-86967</f>
        <v>8849914</v>
      </c>
      <c r="I6" s="1">
        <f>18012+8877632-88995</f>
        <v>8806649</v>
      </c>
      <c r="M6" s="4">
        <f>18012+8904910-86842</f>
        <v>8836080</v>
      </c>
    </row>
    <row r="7" spans="2:30" s="1" customFormat="1">
      <c r="B7" s="1" t="s">
        <v>52</v>
      </c>
      <c r="H7" s="1">
        <v>45518</v>
      </c>
      <c r="I7" s="1">
        <v>44561</v>
      </c>
      <c r="M7" s="1">
        <v>44709</v>
      </c>
    </row>
    <row r="8" spans="2:30" s="1" customFormat="1">
      <c r="B8" s="1" t="s">
        <v>53</v>
      </c>
      <c r="H8" s="1">
        <v>257348</v>
      </c>
      <c r="I8" s="1">
        <v>259468</v>
      </c>
      <c r="M8" s="1">
        <v>308706</v>
      </c>
    </row>
    <row r="9" spans="2:30" s="1" customFormat="1">
      <c r="B9" s="1" t="s">
        <v>54</v>
      </c>
      <c r="H9" s="1">
        <v>46545</v>
      </c>
      <c r="I9" s="1">
        <v>45341</v>
      </c>
      <c r="M9" s="1">
        <v>48994</v>
      </c>
    </row>
    <row r="10" spans="2:30" s="1" customFormat="1">
      <c r="B10" s="1" t="s">
        <v>55</v>
      </c>
      <c r="H10" s="1">
        <f>18303+765822</f>
        <v>784125</v>
      </c>
      <c r="I10" s="1">
        <f>765822+16736</f>
        <v>782558</v>
      </c>
      <c r="M10" s="1">
        <f>15291+765822</f>
        <v>781113</v>
      </c>
    </row>
    <row r="11" spans="2:30" s="1" customFormat="1">
      <c r="B11" s="1" t="s">
        <v>56</v>
      </c>
      <c r="H11" s="1">
        <v>146977</v>
      </c>
      <c r="I11" s="1">
        <v>214506</v>
      </c>
      <c r="M11" s="1">
        <v>163968</v>
      </c>
    </row>
    <row r="12" spans="2:30" s="1" customFormat="1">
      <c r="B12" s="1" t="s">
        <v>57</v>
      </c>
      <c r="H12" s="1">
        <v>124426</v>
      </c>
      <c r="I12" s="1">
        <v>142525</v>
      </c>
      <c r="M12" s="1">
        <v>127187</v>
      </c>
    </row>
    <row r="13" spans="2:30" s="1" customFormat="1">
      <c r="B13" s="4" t="s">
        <v>58</v>
      </c>
      <c r="H13" s="1">
        <f>SUM(H3:H12)</f>
        <v>16484544</v>
      </c>
      <c r="I13" s="1">
        <f>SUM(I3:I12)</f>
        <v>15903015</v>
      </c>
      <c r="M13" s="4">
        <f>SUM(M3:M12)</f>
        <v>16020993</v>
      </c>
    </row>
    <row r="14" spans="2:30" s="1" customFormat="1"/>
    <row r="15" spans="2:30" s="4" customFormat="1">
      <c r="B15" s="4" t="s">
        <v>59</v>
      </c>
      <c r="H15" s="4">
        <f>7878810+4518711</f>
        <v>12397521</v>
      </c>
      <c r="I15" s="4">
        <f>7586649+4772137</f>
        <v>12358786</v>
      </c>
      <c r="M15" s="4">
        <v>11433643</v>
      </c>
    </row>
    <row r="16" spans="2:30" s="1" customFormat="1">
      <c r="B16" s="1" t="s">
        <v>60</v>
      </c>
      <c r="H16" s="1">
        <v>452373</v>
      </c>
      <c r="I16" s="1">
        <v>269552</v>
      </c>
      <c r="M16" s="1">
        <v>271642</v>
      </c>
    </row>
    <row r="17" spans="2:13" s="1" customFormat="1">
      <c r="B17" s="1" t="s">
        <v>12</v>
      </c>
      <c r="H17" s="1">
        <v>1495000</v>
      </c>
      <c r="I17" s="1">
        <v>1120000</v>
      </c>
      <c r="M17" s="1">
        <v>2070000</v>
      </c>
    </row>
    <row r="18" spans="2:13" s="1" customFormat="1">
      <c r="B18" s="1" t="s">
        <v>61</v>
      </c>
      <c r="H18" s="1">
        <v>23095</v>
      </c>
      <c r="I18" s="1">
        <v>22130</v>
      </c>
      <c r="M18" s="1">
        <v>22335</v>
      </c>
    </row>
    <row r="19" spans="2:13" s="1" customFormat="1">
      <c r="B19" s="1" t="s">
        <v>62</v>
      </c>
      <c r="M19" s="1">
        <v>23268</v>
      </c>
    </row>
    <row r="20" spans="2:13" s="1" customFormat="1">
      <c r="B20" s="1" t="s">
        <v>63</v>
      </c>
      <c r="H20" s="1">
        <v>115188</v>
      </c>
      <c r="I20" s="1">
        <v>181146</v>
      </c>
      <c r="K20" s="12"/>
      <c r="M20" s="1">
        <v>122134</v>
      </c>
    </row>
    <row r="21" spans="2:13" s="4" customFormat="1">
      <c r="B21" s="4" t="s">
        <v>64</v>
      </c>
      <c r="H21" s="4">
        <f>SUM(H15:H20)</f>
        <v>14483177</v>
      </c>
      <c r="I21" s="4">
        <f>SUM(I15:I20)</f>
        <v>13951614</v>
      </c>
      <c r="M21" s="4">
        <f>SUM(M15:M20)</f>
        <v>13943022</v>
      </c>
    </row>
    <row r="22" spans="2:13" s="1" customFormat="1">
      <c r="B22" s="1" t="s">
        <v>65</v>
      </c>
      <c r="H22" s="1">
        <f>H13-H21</f>
        <v>2001367</v>
      </c>
      <c r="I22" s="1">
        <f>I13-I21</f>
        <v>1951401</v>
      </c>
      <c r="M22" s="1">
        <f>M13-M21</f>
        <v>2077971</v>
      </c>
    </row>
    <row r="23" spans="2:13" s="1" customFormat="1">
      <c r="B23" s="1" t="s">
        <v>66</v>
      </c>
      <c r="H23" s="1">
        <f>H22-H10</f>
        <v>1217242</v>
      </c>
      <c r="I23" s="1">
        <f>I22-I10</f>
        <v>1168843</v>
      </c>
      <c r="M23" s="1">
        <f>M22-M10</f>
        <v>1296858</v>
      </c>
    </row>
    <row r="25" spans="2:13">
      <c r="B25" s="1" t="s">
        <v>67</v>
      </c>
      <c r="L25" s="1">
        <v>1300466</v>
      </c>
      <c r="M25" s="1">
        <v>1288899</v>
      </c>
    </row>
    <row r="26" spans="2:13">
      <c r="B26" s="1" t="s">
        <v>68</v>
      </c>
      <c r="L26" s="1">
        <v>1002847</v>
      </c>
      <c r="M26" s="1">
        <v>1112642</v>
      </c>
    </row>
    <row r="27" spans="2:13">
      <c r="B27" s="1" t="s">
        <v>69</v>
      </c>
      <c r="L27" s="1">
        <v>-354796</v>
      </c>
      <c r="M27" s="1">
        <v>-323569</v>
      </c>
    </row>
    <row r="28" spans="2:13" s="3" customFormat="1">
      <c r="B28" s="3" t="s">
        <v>70</v>
      </c>
      <c r="L28" s="4">
        <f>SUM(L25:L27)</f>
        <v>1948517</v>
      </c>
      <c r="M28" s="4">
        <f>SUM(M25:M27)</f>
        <v>2077972</v>
      </c>
    </row>
    <row r="29" spans="2:13" s="3" customFormat="1">
      <c r="B29" s="3" t="s">
        <v>71</v>
      </c>
      <c r="L29" s="4">
        <f>L28+L21</f>
        <v>1948517</v>
      </c>
      <c r="M29" s="4">
        <f>M28+M21</f>
        <v>16020994</v>
      </c>
    </row>
    <row r="30" spans="2:13">
      <c r="B30" t="s">
        <v>72</v>
      </c>
      <c r="M30" s="12">
        <f>(M6+M5)/M15</f>
        <v>1.2469179770612044</v>
      </c>
    </row>
    <row r="31" spans="2:13">
      <c r="B31" s="19"/>
    </row>
    <row r="32" spans="2:13">
      <c r="F32" s="4">
        <f>389192-C32-D32-E32</f>
        <v>389192</v>
      </c>
    </row>
    <row r="33" spans="2:13" s="4" customFormat="1">
      <c r="B33" s="4" t="s">
        <v>73</v>
      </c>
      <c r="C33" s="4">
        <v>89461</v>
      </c>
      <c r="D33" s="4">
        <v>92770</v>
      </c>
      <c r="E33" s="4">
        <v>100077</v>
      </c>
      <c r="F33" s="4">
        <f>389192-C33-D33-E33</f>
        <v>106884</v>
      </c>
      <c r="G33" s="4">
        <v>108394</v>
      </c>
      <c r="H33" s="4">
        <v>110990</v>
      </c>
      <c r="I33" s="4">
        <v>113190</v>
      </c>
      <c r="J33" s="4">
        <f>448295-G33-H33-I33</f>
        <v>115721</v>
      </c>
      <c r="L33" s="4">
        <f>SUM(C33:F33)</f>
        <v>389192</v>
      </c>
      <c r="M33" s="4">
        <f>SUM(G33:J33)</f>
        <v>448295</v>
      </c>
    </row>
    <row r="34" spans="2:13" s="1" customFormat="1">
      <c r="B34" s="1" t="s">
        <v>74</v>
      </c>
      <c r="C34" s="1">
        <v>12832</v>
      </c>
      <c r="D34" s="1">
        <v>17042</v>
      </c>
      <c r="E34" s="1">
        <v>18543</v>
      </c>
      <c r="F34" s="1">
        <f>68508-C34-D34-E34</f>
        <v>20091</v>
      </c>
      <c r="G34" s="1">
        <v>19596</v>
      </c>
      <c r="H34" s="1">
        <v>19356</v>
      </c>
      <c r="I34" s="1">
        <v>22441</v>
      </c>
      <c r="J34" s="1">
        <f>83563-G34-H34-I34</f>
        <v>22170</v>
      </c>
      <c r="L34" s="1">
        <f>SUM(C34:F34)</f>
        <v>68508</v>
      </c>
      <c r="M34" s="1">
        <f>SUM(G34:J34)</f>
        <v>83563</v>
      </c>
    </row>
    <row r="35" spans="2:13" s="1" customFormat="1">
      <c r="B35" s="1" t="s">
        <v>75</v>
      </c>
      <c r="C35" s="1">
        <v>10663</v>
      </c>
      <c r="D35" s="1">
        <v>11714</v>
      </c>
      <c r="E35" s="1">
        <v>12834</v>
      </c>
      <c r="F35" s="1">
        <f>49048-C35-D35-E35</f>
        <v>13837</v>
      </c>
      <c r="G35" s="1">
        <v>13956</v>
      </c>
      <c r="H35" s="1">
        <v>13740</v>
      </c>
      <c r="I35" s="1">
        <v>13576</v>
      </c>
      <c r="J35" s="1">
        <f>54750-G35-H35-I35</f>
        <v>13478</v>
      </c>
      <c r="L35" s="1">
        <f>SUM(C35:F35)</f>
        <v>49048</v>
      </c>
      <c r="M35" s="1">
        <f>SUM(G35:J35)</f>
        <v>54750</v>
      </c>
    </row>
    <row r="36" spans="2:13" s="13" customFormat="1">
      <c r="B36" s="13" t="s">
        <v>76</v>
      </c>
      <c r="C36" s="13">
        <f>C35+C34</f>
        <v>23495</v>
      </c>
      <c r="D36" s="13">
        <f>D35+D34</f>
        <v>28756</v>
      </c>
      <c r="E36" s="13">
        <f>E35+E34</f>
        <v>31377</v>
      </c>
      <c r="F36" s="13">
        <f>117556-C36-D36-E36</f>
        <v>33928</v>
      </c>
      <c r="G36" s="13">
        <f>G35+G34</f>
        <v>33552</v>
      </c>
      <c r="H36" s="13">
        <f>H35+H34</f>
        <v>33096</v>
      </c>
      <c r="I36" s="13">
        <f>I35+I34</f>
        <v>36017</v>
      </c>
      <c r="J36" s="13">
        <f>138313-G36-H36-I36</f>
        <v>35648</v>
      </c>
      <c r="L36" s="13">
        <f>SUM(C36:F36)</f>
        <v>117556</v>
      </c>
      <c r="M36" s="13">
        <f>SUM(G36:J36)</f>
        <v>138313</v>
      </c>
    </row>
    <row r="37" spans="2:13" s="1" customFormat="1">
      <c r="B37" s="1" t="s">
        <v>77</v>
      </c>
      <c r="C37" s="1">
        <v>371</v>
      </c>
      <c r="D37" s="1">
        <v>279</v>
      </c>
      <c r="E37" s="1">
        <v>258</v>
      </c>
      <c r="F37" s="1">
        <f>1207-C37-D37-E37</f>
        <v>299</v>
      </c>
      <c r="G37" s="1">
        <v>349</v>
      </c>
      <c r="H37" s="1">
        <v>483</v>
      </c>
      <c r="I37" s="1">
        <v>598</v>
      </c>
      <c r="J37" s="1">
        <f>1861-G37-H37-I37</f>
        <v>431</v>
      </c>
      <c r="L37" s="1">
        <f>SUM(C37:F37)</f>
        <v>1207</v>
      </c>
      <c r="M37" s="1">
        <f>SUM(G37:J37)</f>
        <v>1861</v>
      </c>
    </row>
    <row r="38" spans="2:13" s="1" customFormat="1">
      <c r="B38" s="1" t="s">
        <v>78</v>
      </c>
      <c r="C38" s="1">
        <v>773</v>
      </c>
      <c r="D38" s="1">
        <v>1463</v>
      </c>
      <c r="E38" s="1">
        <v>3476</v>
      </c>
      <c r="F38" s="1">
        <f>6713-C38-D38-E38</f>
        <v>1001</v>
      </c>
      <c r="G38" s="1">
        <v>491</v>
      </c>
      <c r="H38" s="1">
        <v>4670</v>
      </c>
      <c r="I38" s="1">
        <v>6422</v>
      </c>
      <c r="J38" s="1">
        <f>17861-G38-H38-I38</f>
        <v>6278</v>
      </c>
      <c r="L38" s="1">
        <f>SUM(C38:F38)</f>
        <v>6713</v>
      </c>
      <c r="M38" s="1">
        <f>SUM(G38:J38)</f>
        <v>17861</v>
      </c>
    </row>
    <row r="39" spans="2:13" s="13" customFormat="1">
      <c r="B39" s="13" t="s">
        <v>79</v>
      </c>
      <c r="C39" s="13">
        <f>C33+C36+C37+C38</f>
        <v>114100</v>
      </c>
      <c r="D39" s="13">
        <f>D33+D36+D37+D38</f>
        <v>123268</v>
      </c>
      <c r="E39" s="13">
        <f>E33+E36+E37+E38</f>
        <v>135188</v>
      </c>
      <c r="F39" s="13">
        <f>514668-C39-D39-E39</f>
        <v>142112</v>
      </c>
      <c r="G39" s="13">
        <f>G33+G36+G37+G38</f>
        <v>142786</v>
      </c>
      <c r="H39" s="13">
        <f>H33+H36+H37+H38</f>
        <v>149239</v>
      </c>
      <c r="I39" s="13">
        <f>I33+I36+I37+I38</f>
        <v>156227</v>
      </c>
      <c r="J39" s="13">
        <f>606330-G39-H39-I39</f>
        <v>158078</v>
      </c>
      <c r="L39" s="13">
        <f>SUM(C39:F39)</f>
        <v>514668</v>
      </c>
      <c r="M39" s="13">
        <f>SUM(G39:J39)</f>
        <v>606330</v>
      </c>
    </row>
    <row r="40" spans="2:13" s="1" customFormat="1">
      <c r="B40" s="1" t="s">
        <v>80</v>
      </c>
      <c r="C40" s="1">
        <v>1127</v>
      </c>
      <c r="D40" s="1">
        <v>1201</v>
      </c>
      <c r="E40" s="1">
        <v>1728</v>
      </c>
      <c r="F40" s="1">
        <f>6830-C40-D40-E40</f>
        <v>2774</v>
      </c>
      <c r="G40" s="1">
        <v>5365</v>
      </c>
      <c r="H40" s="1">
        <v>10765</v>
      </c>
      <c r="I40" s="1">
        <v>16517</v>
      </c>
      <c r="J40" s="1">
        <f>51535-G40-H40-I40</f>
        <v>18888</v>
      </c>
      <c r="L40" s="1">
        <f>SUM(C40:F40)</f>
        <v>6830</v>
      </c>
      <c r="M40" s="1">
        <f>SUM(G40:J40)</f>
        <v>51535</v>
      </c>
    </row>
    <row r="41" spans="2:13" s="1" customFormat="1">
      <c r="B41" s="1" t="s">
        <v>81</v>
      </c>
      <c r="C41" s="1">
        <v>133</v>
      </c>
      <c r="D41" s="1">
        <v>121</v>
      </c>
      <c r="E41" s="1">
        <v>122</v>
      </c>
      <c r="F41" s="1">
        <f>2325-C41-D41-E41</f>
        <v>1949</v>
      </c>
      <c r="G41" s="1">
        <v>11693</v>
      </c>
      <c r="H41" s="1">
        <v>18939</v>
      </c>
      <c r="I41" s="1">
        <v>16339</v>
      </c>
      <c r="J41" s="1">
        <f>66805-G41-H41-I41</f>
        <v>19834</v>
      </c>
      <c r="L41" s="1">
        <f>SUM(C41:F41)</f>
        <v>2325</v>
      </c>
      <c r="M41" s="1">
        <f>SUM(G41:J41)</f>
        <v>66805</v>
      </c>
    </row>
    <row r="42" spans="2:13" s="13" customFormat="1">
      <c r="B42" s="13" t="s">
        <v>82</v>
      </c>
      <c r="C42" s="13">
        <f>SUM(C40:C41)</f>
        <v>1260</v>
      </c>
      <c r="D42" s="13">
        <f>SUM(D40:D41)</f>
        <v>1322</v>
      </c>
      <c r="E42" s="13">
        <f>SUM(E40:E41)</f>
        <v>1850</v>
      </c>
      <c r="F42" s="15">
        <f>9155-C42-D42-E42</f>
        <v>4723</v>
      </c>
      <c r="G42" s="13">
        <f>SUM(G40:G41)</f>
        <v>17058</v>
      </c>
      <c r="H42" s="13">
        <f>SUM(H40:H41)</f>
        <v>29704</v>
      </c>
      <c r="I42" s="13">
        <f>SUM(I40:I41)</f>
        <v>32856</v>
      </c>
      <c r="J42" s="13">
        <f>118340-G42-H42-I42</f>
        <v>38722</v>
      </c>
      <c r="L42" s="13">
        <f>SUM(C42:F42)</f>
        <v>9155</v>
      </c>
      <c r="M42" s="13">
        <f>SUM(G42:J42)</f>
        <v>118340</v>
      </c>
    </row>
    <row r="43" spans="2:13" s="13" customFormat="1">
      <c r="B43" s="13" t="s">
        <v>83</v>
      </c>
      <c r="C43" s="13">
        <f>C39-C42</f>
        <v>112840</v>
      </c>
      <c r="D43" s="13">
        <f>D39-D42</f>
        <v>121946</v>
      </c>
      <c r="E43" s="13">
        <f>E39-E42</f>
        <v>133338</v>
      </c>
      <c r="F43" s="15">
        <f>505513-C43-D43-E43</f>
        <v>137389</v>
      </c>
      <c r="G43" s="13">
        <f>G39-G42</f>
        <v>125728</v>
      </c>
      <c r="H43" s="13">
        <f>H39-H42</f>
        <v>119535</v>
      </c>
      <c r="I43" s="13">
        <f>I39-I42</f>
        <v>123371</v>
      </c>
      <c r="J43" s="13">
        <f>487990-G43-H43-I43</f>
        <v>119356</v>
      </c>
      <c r="L43" s="13">
        <f>SUM(C43:F43)</f>
        <v>505513</v>
      </c>
      <c r="M43" s="13">
        <f>SUM(G43:J43)</f>
        <v>487990</v>
      </c>
    </row>
    <row r="44" spans="2:13" s="1" customFormat="1">
      <c r="B44" s="1" t="s">
        <v>84</v>
      </c>
      <c r="C44" s="1">
        <v>2500</v>
      </c>
      <c r="D44" s="1">
        <v>3600</v>
      </c>
      <c r="E44" s="1">
        <v>2000</v>
      </c>
      <c r="F44" s="1">
        <f>10600-C44-D44-E44</f>
        <v>2500</v>
      </c>
      <c r="G44" s="1">
        <v>1500</v>
      </c>
      <c r="H44" s="1">
        <v>500</v>
      </c>
      <c r="I44" s="1">
        <v>2000</v>
      </c>
      <c r="J44" s="1">
        <f>2000-G44-H44-I44</f>
        <v>-2000</v>
      </c>
      <c r="L44" s="1">
        <f>SUM(C44:F44)</f>
        <v>10600</v>
      </c>
      <c r="M44" s="1">
        <f>SUM(G44:J44)</f>
        <v>2000</v>
      </c>
    </row>
    <row r="45" spans="2:13" s="13" customFormat="1">
      <c r="B45" s="13" t="s">
        <v>85</v>
      </c>
      <c r="C45" s="13">
        <f>C43-C44</f>
        <v>110340</v>
      </c>
      <c r="D45" s="13">
        <f>D43-D44</f>
        <v>118346</v>
      </c>
      <c r="E45" s="13">
        <f>E43-E44</f>
        <v>131338</v>
      </c>
      <c r="F45" s="13">
        <f>494913-C45-D45-E45</f>
        <v>134889</v>
      </c>
      <c r="G45" s="13">
        <f>G43-G44</f>
        <v>124228</v>
      </c>
      <c r="H45" s="13">
        <f>H43-H44</f>
        <v>119035</v>
      </c>
      <c r="I45" s="13">
        <f>I43-I44</f>
        <v>121371</v>
      </c>
      <c r="J45" s="13">
        <f>485990-G45-H45-I45</f>
        <v>121356</v>
      </c>
      <c r="L45" s="13">
        <f>SUM(C45:F45)</f>
        <v>494913</v>
      </c>
      <c r="M45" s="13">
        <f>SUM(G45:J45)</f>
        <v>485990</v>
      </c>
    </row>
    <row r="46" spans="2:13" s="1" customFormat="1">
      <c r="L46" s="1">
        <f>SUM(C46:F46)</f>
        <v>0</v>
      </c>
    </row>
    <row r="47" spans="2:13" s="1" customFormat="1">
      <c r="B47" s="1" t="s">
        <v>86</v>
      </c>
      <c r="C47" s="1">
        <v>5059</v>
      </c>
      <c r="D47" s="1">
        <v>5333</v>
      </c>
      <c r="E47" s="1">
        <v>5233</v>
      </c>
      <c r="F47" s="1">
        <f>27382-C47-D47-E47</f>
        <v>11757</v>
      </c>
      <c r="G47" s="1">
        <v>5344</v>
      </c>
      <c r="H47" s="1">
        <v>4838</v>
      </c>
      <c r="I47" s="1">
        <v>5062</v>
      </c>
      <c r="J47" s="1">
        <f>20219-G47-H47-I47</f>
        <v>4975</v>
      </c>
      <c r="L47" s="1">
        <f>SUM(C47:F47)</f>
        <v>27382</v>
      </c>
      <c r="M47" s="1">
        <f t="shared" ref="M47:M52" si="0">SUM(G47:J47)</f>
        <v>20219</v>
      </c>
    </row>
    <row r="48" spans="2:13" s="1" customFormat="1">
      <c r="B48" s="1" t="s">
        <v>87</v>
      </c>
      <c r="C48" s="1">
        <v>2822</v>
      </c>
      <c r="D48" s="1">
        <v>2962</v>
      </c>
      <c r="E48" s="1">
        <v>2867</v>
      </c>
      <c r="F48" s="1">
        <f>11518-C48-D48-E48</f>
        <v>2867</v>
      </c>
      <c r="G48" s="1">
        <v>2914</v>
      </c>
      <c r="H48" s="1">
        <v>3515</v>
      </c>
      <c r="I48" s="1">
        <v>3246</v>
      </c>
      <c r="J48" s="1">
        <f>12556-G48-H48-I48</f>
        <v>2881</v>
      </c>
      <c r="L48" s="1">
        <f>SUM(C48:F48)</f>
        <v>11518</v>
      </c>
      <c r="M48" s="1">
        <f t="shared" si="0"/>
        <v>12556</v>
      </c>
    </row>
    <row r="49" spans="2:13" s="1" customFormat="1">
      <c r="B49" s="1" t="s">
        <v>88</v>
      </c>
      <c r="C49" s="1">
        <v>416</v>
      </c>
      <c r="D49" s="1">
        <v>310</v>
      </c>
      <c r="E49" s="1">
        <v>376</v>
      </c>
      <c r="F49" s="1">
        <f>1470-C49-D49-E49</f>
        <v>368</v>
      </c>
      <c r="G49" s="1">
        <v>377</v>
      </c>
      <c r="H49" s="1">
        <v>490</v>
      </c>
      <c r="I49" s="1">
        <v>354</v>
      </c>
      <c r="J49" s="1">
        <f>1627-G49-H49-I49</f>
        <v>406</v>
      </c>
      <c r="L49" s="1">
        <f>SUM(C49:F49)</f>
        <v>1470</v>
      </c>
      <c r="M49" s="1">
        <f t="shared" si="0"/>
        <v>1627</v>
      </c>
    </row>
    <row r="50" spans="2:13" s="1" customFormat="1">
      <c r="B50" s="1" t="s">
        <v>89</v>
      </c>
      <c r="C50" s="1">
        <v>1349</v>
      </c>
      <c r="D50" s="1">
        <v>603</v>
      </c>
      <c r="E50" s="1">
        <v>1987</v>
      </c>
      <c r="F50" s="1">
        <f>5353-C50-D50-E50</f>
        <v>1414</v>
      </c>
      <c r="G50" s="1">
        <v>1189</v>
      </c>
      <c r="H50" s="1">
        <v>2097</v>
      </c>
      <c r="I50" s="1">
        <v>1548</v>
      </c>
      <c r="J50" s="1">
        <f>12751-G50-H50-I50</f>
        <v>7917</v>
      </c>
      <c r="L50" s="1">
        <f>SUM(C50:F50)</f>
        <v>5353</v>
      </c>
      <c r="M50" s="1">
        <f t="shared" si="0"/>
        <v>12751</v>
      </c>
    </row>
    <row r="51" spans="2:13" s="1" customFormat="1">
      <c r="B51" s="1" t="s">
        <v>90</v>
      </c>
      <c r="D51" s="1">
        <v>2717</v>
      </c>
      <c r="F51" s="1">
        <v>2717</v>
      </c>
      <c r="L51" s="1">
        <f>SUM(C51:F51)</f>
        <v>5434</v>
      </c>
    </row>
    <row r="52" spans="2:13" s="1" customFormat="1">
      <c r="B52" s="1" t="s">
        <v>57</v>
      </c>
      <c r="C52" s="1">
        <v>1618</v>
      </c>
      <c r="D52" s="1">
        <v>2745</v>
      </c>
      <c r="E52" s="1">
        <v>1127</v>
      </c>
      <c r="F52" s="1">
        <f>7546-C52-D52-E52</f>
        <v>2056</v>
      </c>
      <c r="G52" s="1">
        <v>3378</v>
      </c>
      <c r="H52" s="1">
        <v>1916</v>
      </c>
      <c r="I52" s="1">
        <v>4099</v>
      </c>
      <c r="J52" s="1">
        <f>12177-G52-H52-I52</f>
        <v>2784</v>
      </c>
      <c r="L52" s="1">
        <f>SUM(C52:F52)</f>
        <v>7546</v>
      </c>
      <c r="M52" s="1">
        <f t="shared" si="0"/>
        <v>12177</v>
      </c>
    </row>
    <row r="53" spans="2:13" s="13" customFormat="1">
      <c r="B53" s="13" t="s">
        <v>91</v>
      </c>
      <c r="C53" s="13">
        <f>SUM(C47:C52)</f>
        <v>11264</v>
      </c>
      <c r="D53" s="13">
        <f>SUM(D47:D52)</f>
        <v>14670</v>
      </c>
      <c r="E53" s="13">
        <f>SUM(E47:E52)</f>
        <v>11590</v>
      </c>
      <c r="F53" s="13">
        <f>49989-C53-D53-E53</f>
        <v>12465</v>
      </c>
      <c r="G53" s="13">
        <f>SUM(G47:G52)</f>
        <v>13202</v>
      </c>
      <c r="H53" s="13">
        <f>SUM(H47:H52)</f>
        <v>12856</v>
      </c>
      <c r="I53" s="13">
        <f>SUM(I47:I52)</f>
        <v>14309</v>
      </c>
      <c r="J53" s="13">
        <f>59330-G53-H53-I53</f>
        <v>18963</v>
      </c>
      <c r="L53" s="13">
        <f>SUM(C53:F53)</f>
        <v>49989</v>
      </c>
      <c r="M53" s="13">
        <f>SUM(G53:J53)</f>
        <v>59330</v>
      </c>
    </row>
    <row r="54" spans="2:13">
      <c r="C54" s="1"/>
      <c r="D54" s="1"/>
      <c r="E54" s="1"/>
      <c r="F54" s="1"/>
      <c r="G54" s="1"/>
      <c r="H54" s="1"/>
      <c r="I54" s="1"/>
    </row>
    <row r="55" spans="2:13">
      <c r="B55" s="1" t="s">
        <v>92</v>
      </c>
      <c r="C55" s="1">
        <v>32656</v>
      </c>
      <c r="D55" s="1">
        <v>31553</v>
      </c>
      <c r="E55" s="1">
        <v>33233</v>
      </c>
      <c r="F55" s="1">
        <f>131596-C55-D55-E55</f>
        <v>34154</v>
      </c>
      <c r="G55" s="1">
        <v>35247</v>
      </c>
      <c r="H55" s="1">
        <v>33548</v>
      </c>
      <c r="I55" s="1">
        <v>34744</v>
      </c>
      <c r="J55" s="1">
        <f>139191-G55-H55-I55</f>
        <v>35652</v>
      </c>
      <c r="L55" s="1">
        <f>SUM(C55:F55)</f>
        <v>131596</v>
      </c>
      <c r="M55" s="1">
        <f t="shared" ref="M55:M63" si="1">SUM(G55:J55)</f>
        <v>139191</v>
      </c>
    </row>
    <row r="56" spans="2:13">
      <c r="B56" s="1" t="s">
        <v>93</v>
      </c>
      <c r="C56" s="1">
        <v>5571</v>
      </c>
      <c r="D56" s="1">
        <v>5567</v>
      </c>
      <c r="E56" s="1">
        <v>5779</v>
      </c>
      <c r="F56" s="1">
        <f>22737-C56-D56-E56</f>
        <v>5820</v>
      </c>
      <c r="G56" s="1">
        <v>5450</v>
      </c>
      <c r="H56" s="1">
        <v>5517</v>
      </c>
      <c r="I56" s="1">
        <v>5618</v>
      </c>
      <c r="J56" s="1">
        <f>22109-G56-H56-I56</f>
        <v>5524</v>
      </c>
      <c r="L56" s="1">
        <f>SUM(C56:F56)</f>
        <v>22737</v>
      </c>
      <c r="M56" s="1">
        <f t="shared" si="1"/>
        <v>22109</v>
      </c>
    </row>
    <row r="57" spans="2:13">
      <c r="B57" s="1" t="s">
        <v>94</v>
      </c>
      <c r="C57" s="1">
        <v>2045</v>
      </c>
      <c r="D57" s="1">
        <v>2305</v>
      </c>
      <c r="E57" s="1">
        <v>2438</v>
      </c>
      <c r="F57" s="1">
        <f>9362-C57-D57-E57</f>
        <v>2574</v>
      </c>
      <c r="G57" s="1">
        <v>1696</v>
      </c>
      <c r="H57" s="1">
        <v>2562</v>
      </c>
      <c r="I57" s="1">
        <v>2117</v>
      </c>
      <c r="J57" s="1">
        <f>9082-G57-H57-I57</f>
        <v>2707</v>
      </c>
      <c r="L57" s="1">
        <f>SUM(C57:F57)</f>
        <v>9362</v>
      </c>
      <c r="M57" s="1">
        <f t="shared" si="1"/>
        <v>9082</v>
      </c>
    </row>
    <row r="58" spans="2:13">
      <c r="B58" s="1" t="s">
        <v>95</v>
      </c>
      <c r="C58" s="1">
        <v>3795</v>
      </c>
      <c r="D58" s="1">
        <v>3103</v>
      </c>
      <c r="E58" s="1">
        <v>3243</v>
      </c>
      <c r="F58" s="1">
        <f>13503-C58-D58-E58</f>
        <v>3362</v>
      </c>
      <c r="G58" s="1">
        <v>3408</v>
      </c>
      <c r="H58" s="1">
        <v>3316</v>
      </c>
      <c r="I58" s="1">
        <v>3648</v>
      </c>
      <c r="J58" s="1">
        <f>14051-G58-H58-I58</f>
        <v>3679</v>
      </c>
      <c r="L58" s="1">
        <f>SUM(C58:F58)</f>
        <v>13503</v>
      </c>
      <c r="M58" s="1">
        <f t="shared" si="1"/>
        <v>14051</v>
      </c>
    </row>
    <row r="59" spans="2:13">
      <c r="B59" s="1" t="s">
        <v>96</v>
      </c>
      <c r="C59" s="1">
        <v>1458</v>
      </c>
      <c r="D59" s="1">
        <v>1638</v>
      </c>
      <c r="E59" s="1">
        <v>1488</v>
      </c>
      <c r="F59" s="1">
        <f>6296-C59-D59-E59</f>
        <v>1712</v>
      </c>
      <c r="G59" s="1">
        <v>1715</v>
      </c>
      <c r="H59" s="1">
        <v>1321</v>
      </c>
      <c r="I59" s="1">
        <v>1628</v>
      </c>
      <c r="J59" s="1">
        <f>6756-G59-H59-I59</f>
        <v>2092</v>
      </c>
      <c r="L59" s="1">
        <f>SUM(C59:F59)</f>
        <v>6296</v>
      </c>
      <c r="M59" s="1">
        <f t="shared" si="1"/>
        <v>6756</v>
      </c>
    </row>
    <row r="60" spans="2:13">
      <c r="B60" s="1" t="s">
        <v>97</v>
      </c>
      <c r="C60" s="1"/>
      <c r="D60" s="1"/>
      <c r="E60" s="1"/>
      <c r="F60" s="1"/>
      <c r="G60" s="1">
        <v>500</v>
      </c>
      <c r="H60" s="1">
        <v>400</v>
      </c>
      <c r="I60" s="1">
        <v>-900</v>
      </c>
      <c r="J60" s="1">
        <f>-500-G60-H60-I60</f>
        <v>-500</v>
      </c>
      <c r="L60" s="1">
        <f>SUM(C60:F60)</f>
        <v>0</v>
      </c>
      <c r="M60" s="1">
        <f t="shared" si="1"/>
        <v>-500</v>
      </c>
    </row>
    <row r="61" spans="2:13">
      <c r="B61" s="1" t="s">
        <v>98</v>
      </c>
      <c r="C61" s="1">
        <v>1998</v>
      </c>
      <c r="D61" s="1">
        <v>1998</v>
      </c>
      <c r="E61" s="1">
        <v>1846</v>
      </c>
      <c r="F61" s="1">
        <f>7566-C61-D61-E61</f>
        <v>1724</v>
      </c>
      <c r="G61" s="1">
        <v>1720</v>
      </c>
      <c r="H61" s="1">
        <v>1719</v>
      </c>
      <c r="I61" s="1">
        <v>1567</v>
      </c>
      <c r="J61" s="1">
        <f>6452-G61-H61-I61</f>
        <v>1446</v>
      </c>
      <c r="L61" s="1">
        <f>SUM(C61:F61)</f>
        <v>7566</v>
      </c>
      <c r="M61" s="1">
        <f t="shared" si="1"/>
        <v>6452</v>
      </c>
    </row>
    <row r="62" spans="2:13">
      <c r="B62" s="1" t="s">
        <v>99</v>
      </c>
      <c r="C62" s="1">
        <v>5638</v>
      </c>
      <c r="D62" s="1">
        <v>375</v>
      </c>
      <c r="E62" s="1"/>
      <c r="F62" s="1">
        <v>0</v>
      </c>
      <c r="G62" s="1"/>
      <c r="H62" s="1"/>
      <c r="I62" s="1"/>
      <c r="L62" s="1">
        <f>SUM(C62:F62)</f>
        <v>6013</v>
      </c>
      <c r="M62" s="1"/>
    </row>
    <row r="63" spans="2:13">
      <c r="B63" s="1" t="s">
        <v>57</v>
      </c>
      <c r="C63" s="1">
        <v>5077</v>
      </c>
      <c r="D63" s="1">
        <v>4332</v>
      </c>
      <c r="E63" s="1">
        <v>5000</v>
      </c>
      <c r="F63" s="1">
        <f>19482-C63-D63-E63</f>
        <v>5073</v>
      </c>
      <c r="G63" s="1">
        <v>5145</v>
      </c>
      <c r="H63" s="1">
        <v>5634</v>
      </c>
      <c r="I63" s="1">
        <v>6636</v>
      </c>
      <c r="J63" s="1">
        <f>32745-G63-H63-I63</f>
        <v>15330</v>
      </c>
      <c r="L63" s="1">
        <f>SUM(C63:F63)</f>
        <v>19482</v>
      </c>
      <c r="M63" s="1">
        <f t="shared" si="1"/>
        <v>32745</v>
      </c>
    </row>
    <row r="64" spans="2:13" s="14" customFormat="1">
      <c r="B64" s="13" t="s">
        <v>100</v>
      </c>
      <c r="C64" s="13">
        <f t="shared" ref="C64:J64" si="2">C39+C53</f>
        <v>125364</v>
      </c>
      <c r="D64" s="13">
        <f t="shared" si="2"/>
        <v>137938</v>
      </c>
      <c r="E64" s="13">
        <f t="shared" si="2"/>
        <v>146778</v>
      </c>
      <c r="F64" s="13">
        <f t="shared" si="2"/>
        <v>154577</v>
      </c>
      <c r="G64" s="13">
        <f t="shared" si="2"/>
        <v>155988</v>
      </c>
      <c r="H64" s="13">
        <f t="shared" si="2"/>
        <v>162095</v>
      </c>
      <c r="I64" s="13">
        <f t="shared" si="2"/>
        <v>170536</v>
      </c>
      <c r="J64" s="13">
        <f t="shared" si="2"/>
        <v>177041</v>
      </c>
      <c r="L64" s="13">
        <f>L39+L53</f>
        <v>564657</v>
      </c>
      <c r="M64" s="13">
        <f>M39+M53</f>
        <v>665660</v>
      </c>
    </row>
    <row r="65" spans="2:14" s="14" customFormat="1">
      <c r="B65" s="13" t="s">
        <v>101</v>
      </c>
      <c r="C65" s="13">
        <f>SUM(C55:C63)</f>
        <v>58238</v>
      </c>
      <c r="D65" s="13">
        <f>SUM(D55:D63)</f>
        <v>50871</v>
      </c>
      <c r="E65" s="13">
        <f>SUM(E55:E63)</f>
        <v>53027</v>
      </c>
      <c r="F65" s="13">
        <f>216555-C65-D65-E65</f>
        <v>54419</v>
      </c>
      <c r="G65" s="13">
        <f>SUM(G55:G63)</f>
        <v>54881</v>
      </c>
      <c r="H65" s="13">
        <f>SUM(H55:H63)</f>
        <v>54017</v>
      </c>
      <c r="I65" s="13">
        <f>SUM(I55:I63)</f>
        <v>55058</v>
      </c>
      <c r="J65" s="13">
        <f>229886-G65-H65-I65</f>
        <v>65930</v>
      </c>
      <c r="L65" s="13">
        <f>SUM(C65:F65)</f>
        <v>216555</v>
      </c>
      <c r="M65" s="13">
        <f>SUM(G65:J65)</f>
        <v>229886</v>
      </c>
    </row>
    <row r="66" spans="2:14">
      <c r="B66" s="1" t="s">
        <v>102</v>
      </c>
      <c r="C66" s="1">
        <f>C45+C53-C65</f>
        <v>63366</v>
      </c>
      <c r="D66" s="1">
        <f>D45+D53-D65</f>
        <v>82145</v>
      </c>
      <c r="E66" s="1">
        <f>E45+E53-E65</f>
        <v>89901</v>
      </c>
      <c r="F66" s="1">
        <f>328347-C66-D66-E66</f>
        <v>92935</v>
      </c>
      <c r="G66" s="1">
        <f>G45+G53-G65</f>
        <v>82549</v>
      </c>
      <c r="H66" s="1">
        <f>H45+H53-H65</f>
        <v>77874</v>
      </c>
      <c r="I66" s="1">
        <f>I45+I53-I65</f>
        <v>80622</v>
      </c>
      <c r="J66" s="1">
        <f>315434-G66-H66-I66</f>
        <v>74389</v>
      </c>
      <c r="L66" s="1">
        <f>SUM(C66:F66)</f>
        <v>328347</v>
      </c>
      <c r="M66" s="1">
        <f t="shared" ref="M66:M67" si="3">SUM(G66:J66)</f>
        <v>315434</v>
      </c>
      <c r="N66" s="1"/>
    </row>
    <row r="67" spans="2:14">
      <c r="B67" s="1" t="s">
        <v>56</v>
      </c>
      <c r="C67" s="1">
        <v>17806</v>
      </c>
      <c r="D67" s="1">
        <v>23081</v>
      </c>
      <c r="E67" s="1">
        <v>25262</v>
      </c>
      <c r="F67" s="1">
        <f>92922-C67-D67-E67</f>
        <v>26773</v>
      </c>
      <c r="G67" s="1">
        <v>23279</v>
      </c>
      <c r="H67" s="1">
        <v>21904</v>
      </c>
      <c r="I67" s="1">
        <v>22735</v>
      </c>
      <c r="J67" s="1">
        <f>93999-G67-H67-I67</f>
        <v>26081</v>
      </c>
      <c r="L67" s="1">
        <f>SUM(C67:F67)</f>
        <v>92922</v>
      </c>
      <c r="M67" s="1">
        <f t="shared" si="3"/>
        <v>93999</v>
      </c>
    </row>
    <row r="68" spans="2:14" s="17" customFormat="1" ht="15.75" thickBot="1">
      <c r="B68" s="16" t="s">
        <v>103</v>
      </c>
      <c r="C68" s="16">
        <f>C66-C67</f>
        <v>45560</v>
      </c>
      <c r="D68" s="16">
        <f>D66-D67</f>
        <v>59064</v>
      </c>
      <c r="E68" s="16">
        <f>E66-E67</f>
        <v>64639</v>
      </c>
      <c r="F68" s="16">
        <f>F66-F67</f>
        <v>66162</v>
      </c>
      <c r="G68" s="16">
        <f>G66-G67</f>
        <v>59270</v>
      </c>
      <c r="H68" s="16">
        <f>H66-H67</f>
        <v>55970</v>
      </c>
      <c r="I68" s="16">
        <f>I66-I67</f>
        <v>57887</v>
      </c>
      <c r="J68" s="16">
        <f>221435-G68-H68-I68</f>
        <v>48308</v>
      </c>
      <c r="L68" s="16">
        <f>SUM(C68:F68)</f>
        <v>235425</v>
      </c>
      <c r="M68" s="16">
        <f>SUM(G68:J68)</f>
        <v>221435</v>
      </c>
    </row>
    <row r="69" spans="2:14" s="1" customFormat="1" ht="15.75" thickTop="1">
      <c r="B69" s="1" t="s">
        <v>104</v>
      </c>
      <c r="C69" s="1">
        <v>-202018</v>
      </c>
      <c r="D69" s="1">
        <v>-142790</v>
      </c>
      <c r="E69" s="1">
        <v>-194016</v>
      </c>
      <c r="F69" s="1">
        <f>-498078-C69-D69-E69</f>
        <v>40746</v>
      </c>
      <c r="G69" s="1">
        <v>40702</v>
      </c>
      <c r="H69" s="1">
        <v>-34464</v>
      </c>
      <c r="I69" s="1">
        <v>-133864</v>
      </c>
      <c r="J69" s="1">
        <f>44306-G69-H69-I69</f>
        <v>171932</v>
      </c>
      <c r="L69" s="1">
        <f>SUM(C69:F69)</f>
        <v>-498078</v>
      </c>
      <c r="M69" s="1">
        <f t="shared" ref="M69:M73" si="4">SUM(G69:J69)</f>
        <v>44306</v>
      </c>
    </row>
    <row r="70" spans="2:14" s="1" customFormat="1">
      <c r="B70" s="1" t="s">
        <v>105</v>
      </c>
      <c r="C70" s="1">
        <v>59724</v>
      </c>
      <c r="D70" s="1">
        <v>42213</v>
      </c>
      <c r="E70" s="1">
        <v>57358</v>
      </c>
      <c r="F70" s="1">
        <f>147250-C70-D70-E70</f>
        <v>-12045</v>
      </c>
      <c r="G70" s="1">
        <v>-12033</v>
      </c>
      <c r="H70" s="1">
        <v>7869</v>
      </c>
      <c r="I70" s="1">
        <v>41894</v>
      </c>
      <c r="J70" s="1">
        <f>-13079-G70-H70-I70</f>
        <v>-50809</v>
      </c>
      <c r="L70" s="1">
        <f>SUM(C70:F70)</f>
        <v>147250</v>
      </c>
      <c r="M70" s="1">
        <f t="shared" si="4"/>
        <v>-13079</v>
      </c>
    </row>
    <row r="71" spans="2:14" s="1" customFormat="1">
      <c r="B71" s="1" t="s">
        <v>106</v>
      </c>
      <c r="H71" s="1">
        <v>7846</v>
      </c>
      <c r="I71" s="1">
        <v>9708</v>
      </c>
      <c r="L71" s="1">
        <f>SUM(C71:F71)</f>
        <v>0</v>
      </c>
      <c r="M71" s="1">
        <f t="shared" si="4"/>
        <v>17554</v>
      </c>
    </row>
    <row r="72" spans="2:14" s="1" customFormat="1">
      <c r="B72" s="1" t="s">
        <v>107</v>
      </c>
      <c r="C72" s="1">
        <f>C69+C70</f>
        <v>-142294</v>
      </c>
      <c r="D72" s="1">
        <f t="shared" ref="D72:H72" si="5">D69+D70</f>
        <v>-100577</v>
      </c>
      <c r="E72" s="1">
        <f t="shared" si="5"/>
        <v>-136658</v>
      </c>
      <c r="F72" s="1">
        <f>-350828-C72-D72-E72</f>
        <v>28701</v>
      </c>
      <c r="G72" s="1">
        <f t="shared" si="5"/>
        <v>28669</v>
      </c>
      <c r="H72" s="1">
        <f>H69+H70+H71</f>
        <v>-18749</v>
      </c>
      <c r="I72" s="1">
        <f>I69+I70+I71</f>
        <v>-82262</v>
      </c>
      <c r="J72" s="1">
        <f>31227-G72-H72-I72</f>
        <v>103569</v>
      </c>
      <c r="L72" s="1">
        <f>SUM(C72:F72)</f>
        <v>-350828</v>
      </c>
      <c r="M72" s="1">
        <f t="shared" si="4"/>
        <v>31227</v>
      </c>
    </row>
    <row r="73" spans="2:14" s="1" customFormat="1">
      <c r="B73" s="1" t="s">
        <v>108</v>
      </c>
      <c r="C73" s="1">
        <f>C72+C68</f>
        <v>-96734</v>
      </c>
      <c r="D73" s="1">
        <f>D68+D72</f>
        <v>-41513</v>
      </c>
      <c r="E73" s="1">
        <f>E68+E72</f>
        <v>-72019</v>
      </c>
      <c r="F73" s="1">
        <f>-115403-C73-D73-E73</f>
        <v>94863</v>
      </c>
      <c r="G73" s="1">
        <f>G68+G72</f>
        <v>87939</v>
      </c>
      <c r="H73" s="1">
        <f>H68+H72</f>
        <v>37221</v>
      </c>
      <c r="I73" s="1">
        <f>I68+I72</f>
        <v>-24375</v>
      </c>
      <c r="J73" s="1">
        <f>252662-G73-H73-I73</f>
        <v>151877</v>
      </c>
      <c r="L73" s="1">
        <f>SUM(C73:F73)</f>
        <v>-115403</v>
      </c>
      <c r="M73" s="1">
        <f t="shared" si="4"/>
        <v>252662</v>
      </c>
    </row>
    <row r="74" spans="2:14" s="4" customFormat="1">
      <c r="B74" s="4" t="s">
        <v>109</v>
      </c>
      <c r="C74" s="18">
        <f>C68/G75</f>
        <v>0.32705813625633912</v>
      </c>
      <c r="D74" s="18">
        <f t="shared" ref="D74:H74" si="6">D68/D75</f>
        <v>0.42243275565215332</v>
      </c>
      <c r="E74" s="18">
        <f t="shared" si="6"/>
        <v>0.46230581898617668</v>
      </c>
      <c r="F74" s="18">
        <f t="shared" si="6"/>
        <v>0.47319849619832333</v>
      </c>
      <c r="G74" s="18">
        <f t="shared" si="6"/>
        <v>0.42547707936596174</v>
      </c>
      <c r="H74" s="18">
        <f t="shared" si="6"/>
        <v>0.40166987882961042</v>
      </c>
      <c r="I74" s="18">
        <f>I68/I75</f>
        <v>0.41544392088748361</v>
      </c>
      <c r="J74" s="18">
        <f>J68/J75</f>
        <v>0.34669727106660492</v>
      </c>
      <c r="L74" s="18">
        <f>L68/L75</f>
        <v>1.683787611733174</v>
      </c>
      <c r="M74" s="18">
        <f>M68/M75</f>
        <v>1.5891135684320055</v>
      </c>
    </row>
    <row r="75" spans="2:14" s="1" customFormat="1">
      <c r="B75" s="1" t="s">
        <v>3</v>
      </c>
      <c r="C75" s="1">
        <v>139818.70300000001</v>
      </c>
      <c r="D75" s="1">
        <v>139818.70300000001</v>
      </c>
      <c r="E75" s="1">
        <v>139818.70300000001</v>
      </c>
      <c r="F75" s="1">
        <v>139818.70300000001</v>
      </c>
      <c r="G75" s="1">
        <v>139302.451</v>
      </c>
      <c r="H75" s="1">
        <v>139343.28400000001</v>
      </c>
      <c r="I75" s="1">
        <v>139337.69899999999</v>
      </c>
      <c r="J75" s="1">
        <v>139337.69899999999</v>
      </c>
      <c r="L75" s="1">
        <v>139818.70300000001</v>
      </c>
      <c r="M75" s="1">
        <v>139344.981</v>
      </c>
    </row>
    <row r="77" spans="2:14">
      <c r="B77" s="1" t="s">
        <v>110</v>
      </c>
      <c r="C77" s="12">
        <f t="shared" ref="C77:L77" si="7">C53/C36</f>
        <v>0.47942115343690145</v>
      </c>
      <c r="D77" s="12">
        <f t="shared" si="7"/>
        <v>0.51015440255946587</v>
      </c>
      <c r="E77" s="12">
        <f t="shared" si="7"/>
        <v>0.36937884437645407</v>
      </c>
      <c r="F77" s="12">
        <f t="shared" si="7"/>
        <v>0.36739566140061308</v>
      </c>
      <c r="G77" s="12">
        <f t="shared" si="7"/>
        <v>0.39347877920839291</v>
      </c>
      <c r="H77" s="12">
        <f t="shared" si="7"/>
        <v>0.38844573362339863</v>
      </c>
      <c r="I77" s="12">
        <f t="shared" si="7"/>
        <v>0.39728461559818973</v>
      </c>
      <c r="J77" s="12">
        <f t="shared" si="7"/>
        <v>0.53195130161579895</v>
      </c>
      <c r="K77" s="12"/>
      <c r="L77" s="12">
        <f t="shared" si="7"/>
        <v>0.42523563237946171</v>
      </c>
      <c r="M77" s="12">
        <f>M53/M36</f>
        <v>0.42895461742569391</v>
      </c>
    </row>
    <row r="78" spans="2:14">
      <c r="B78" s="1" t="s">
        <v>111</v>
      </c>
      <c r="C78" s="12">
        <f t="shared" ref="C78:L78" si="8">C68/C64</f>
        <v>0.3634217159631154</v>
      </c>
      <c r="D78" s="12">
        <f t="shared" si="8"/>
        <v>0.42819237628499762</v>
      </c>
      <c r="E78" s="12">
        <f t="shared" si="8"/>
        <v>0.44038616141383585</v>
      </c>
      <c r="F78" s="12">
        <f t="shared" si="8"/>
        <v>0.42801969245101146</v>
      </c>
      <c r="G78" s="12">
        <f t="shared" si="8"/>
        <v>0.37996512552247608</v>
      </c>
      <c r="H78" s="12">
        <f t="shared" si="8"/>
        <v>0.34529134149727014</v>
      </c>
      <c r="I78" s="12">
        <f t="shared" si="8"/>
        <v>0.33944152554299384</v>
      </c>
      <c r="J78" s="12">
        <f t="shared" si="8"/>
        <v>0.27286334803802509</v>
      </c>
      <c r="K78" s="12"/>
      <c r="L78" s="12">
        <f t="shared" si="8"/>
        <v>0.41693452839511419</v>
      </c>
      <c r="M78" s="12">
        <f>M68/M64</f>
        <v>0.33265480876122944</v>
      </c>
    </row>
    <row r="79" spans="2:14">
      <c r="B79" s="1" t="s">
        <v>112</v>
      </c>
      <c r="C79" s="12">
        <f t="shared" ref="C79:L79" si="9">C68/C39</f>
        <v>0.39929886064855391</v>
      </c>
      <c r="D79" s="12">
        <f t="shared" si="9"/>
        <v>0.47915111788947656</v>
      </c>
      <c r="E79" s="12">
        <f t="shared" si="9"/>
        <v>0.47814155102523892</v>
      </c>
      <c r="F79" s="12">
        <f t="shared" si="9"/>
        <v>0.46556237333933798</v>
      </c>
      <c r="G79" s="12">
        <f t="shared" si="9"/>
        <v>0.41509671816564647</v>
      </c>
      <c r="H79" s="12">
        <f t="shared" si="9"/>
        <v>0.37503601605478459</v>
      </c>
      <c r="I79" s="12">
        <f t="shared" si="9"/>
        <v>0.37053134221357381</v>
      </c>
      <c r="J79" s="12">
        <f t="shared" si="9"/>
        <v>0.30559597160895252</v>
      </c>
      <c r="K79" s="12"/>
      <c r="L79" s="12">
        <f t="shared" si="9"/>
        <v>0.45743080976474154</v>
      </c>
      <c r="M79" s="12">
        <f>M68/M39</f>
        <v>0.36520541619250241</v>
      </c>
    </row>
    <row r="80" spans="2:14">
      <c r="B80" s="1" t="s">
        <v>113</v>
      </c>
      <c r="C80" s="12">
        <f t="shared" ref="C80:L80" si="10">C67/C66</f>
        <v>0.28100243032541111</v>
      </c>
      <c r="D80" s="12">
        <f t="shared" si="10"/>
        <v>0.28097875707590236</v>
      </c>
      <c r="E80" s="12">
        <f t="shared" si="10"/>
        <v>0.28099798667423054</v>
      </c>
      <c r="F80" s="12">
        <f t="shared" si="10"/>
        <v>0.28808306881153495</v>
      </c>
      <c r="G80" s="12">
        <f t="shared" si="10"/>
        <v>0.28200220475111754</v>
      </c>
      <c r="H80" s="12">
        <f t="shared" si="10"/>
        <v>0.28127487993425276</v>
      </c>
      <c r="I80" s="12">
        <f t="shared" si="10"/>
        <v>0.28199498896082953</v>
      </c>
      <c r="J80" s="12">
        <f t="shared" si="10"/>
        <v>0.35060291172081892</v>
      </c>
      <c r="K80" s="12"/>
      <c r="L80" s="12">
        <f t="shared" si="10"/>
        <v>0.28299938784273954</v>
      </c>
      <c r="M80" s="12">
        <f>M67/M66</f>
        <v>0.2979989474818821</v>
      </c>
    </row>
    <row r="82" spans="2:13">
      <c r="B82" s="1" t="s">
        <v>114</v>
      </c>
      <c r="E82" s="12"/>
      <c r="F82" s="12"/>
      <c r="G82" s="12">
        <f t="shared" ref="E82:I82" si="11">G64/C64-1</f>
        <v>0.2442806547334162</v>
      </c>
      <c r="H82" s="12">
        <f t="shared" si="11"/>
        <v>0.17512940596499882</v>
      </c>
      <c r="I82" s="12">
        <f t="shared" si="11"/>
        <v>0.16186349452915283</v>
      </c>
      <c r="J82" s="12">
        <f>J64/F64-1</f>
        <v>0.14532563059187331</v>
      </c>
      <c r="M82" s="12">
        <f>M64/L64-1</f>
        <v>0.17887496303065409</v>
      </c>
    </row>
    <row r="83" spans="2:13">
      <c r="B83" s="1" t="s">
        <v>115</v>
      </c>
      <c r="C83" s="12"/>
      <c r="D83" s="12">
        <f t="shared" ref="C83:I83" si="12">D64/C64-1</f>
        <v>0.1002999266137008</v>
      </c>
      <c r="E83" s="12">
        <f t="shared" si="12"/>
        <v>6.4086763618437237E-2</v>
      </c>
      <c r="F83" s="12">
        <f t="shared" si="12"/>
        <v>5.3134665958113558E-2</v>
      </c>
      <c r="G83" s="12">
        <f t="shared" si="12"/>
        <v>9.1281367861970608E-3</v>
      </c>
      <c r="H83" s="12">
        <f t="shared" si="12"/>
        <v>3.915044747031815E-2</v>
      </c>
      <c r="I83" s="12">
        <f t="shared" si="12"/>
        <v>5.2074400814337229E-2</v>
      </c>
      <c r="J83" s="12">
        <f>J64/I64-1</f>
        <v>3.8144438710888018E-2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190C-CB28-4977-83F8-FF7EB1572DDF}">
  <dimension ref="A3:A7"/>
  <sheetViews>
    <sheetView workbookViewId="0">
      <selection activeCell="A11" sqref="A11"/>
    </sheetView>
  </sheetViews>
  <sheetFormatPr defaultRowHeight="15"/>
  <cols>
    <col min="1" max="1" width="82.85546875" customWidth="1"/>
  </cols>
  <sheetData>
    <row r="3" spans="1:1">
      <c r="A3" t="s">
        <v>116</v>
      </c>
    </row>
    <row r="4" spans="1:1">
      <c r="A4" t="s">
        <v>117</v>
      </c>
    </row>
    <row r="5" spans="1:1">
      <c r="A5" t="s">
        <v>118</v>
      </c>
    </row>
    <row r="7" spans="1:1" ht="75">
      <c r="A7" s="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Herbert Guðmundsson</dc:creator>
  <cp:keywords/>
  <dc:description/>
  <cp:lastModifiedBy>Herbert Guðmundsson</cp:lastModifiedBy>
  <cp:revision/>
  <dcterms:created xsi:type="dcterms:W3CDTF">2024-04-14T23:09:11Z</dcterms:created>
  <dcterms:modified xsi:type="dcterms:W3CDTF">2024-04-16T01:30:36Z</dcterms:modified>
  <cp:category/>
  <cp:contentStatus/>
</cp:coreProperties>
</file>