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677" documentId="8_{5F077EDE-626A-46F6-A0C4-CBD9A66449AB}" xr6:coauthVersionLast="47" xr6:coauthVersionMax="47" xr10:uidLastSave="{94E49EBD-671F-4A37-9037-5375E1CB70C0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R35" i="1"/>
  <c r="Q35" i="1"/>
  <c r="S34" i="1"/>
  <c r="R34" i="1"/>
  <c r="Q34" i="1"/>
  <c r="S33" i="1"/>
  <c r="R33" i="1"/>
  <c r="Q33" i="1"/>
  <c r="S32" i="1"/>
  <c r="R32" i="1"/>
  <c r="Q32" i="1"/>
  <c r="S30" i="1"/>
  <c r="R30" i="1"/>
  <c r="Q30" i="1"/>
  <c r="S29" i="1"/>
  <c r="R29" i="1"/>
  <c r="Q29" i="1"/>
  <c r="AM26" i="1" l="1"/>
  <c r="AM28" i="1" s="1"/>
  <c r="AM29" i="1" s="1"/>
  <c r="AM30" i="1" s="1"/>
  <c r="AL23" i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DZ23" i="1" s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AK23" i="1"/>
  <c r="Z27" i="1"/>
  <c r="Z19" i="1"/>
  <c r="Z14" i="1"/>
  <c r="Z13" i="1"/>
  <c r="Z12" i="1"/>
  <c r="Z11" i="1"/>
  <c r="Z10" i="1"/>
  <c r="K29" i="1"/>
  <c r="I30" i="1"/>
  <c r="H30" i="1"/>
  <c r="G32" i="1"/>
  <c r="F32" i="1"/>
  <c r="E32" i="1"/>
  <c r="D32" i="1"/>
  <c r="X32" i="1"/>
  <c r="W27" i="1"/>
  <c r="W24" i="1"/>
  <c r="W22" i="1"/>
  <c r="W20" i="1"/>
  <c r="W19" i="1"/>
  <c r="W18" i="1"/>
  <c r="W16" i="1"/>
  <c r="W15" i="1"/>
  <c r="W14" i="1"/>
  <c r="W13" i="1"/>
  <c r="W12" i="1"/>
  <c r="W11" i="1"/>
  <c r="W10" i="1"/>
  <c r="W9" i="1"/>
  <c r="W8" i="1"/>
  <c r="W32" i="1" s="1"/>
  <c r="W6" i="1"/>
  <c r="W5" i="1"/>
  <c r="W4" i="1"/>
  <c r="W3" i="1"/>
  <c r="C16" i="1"/>
  <c r="C7" i="1"/>
  <c r="G29" i="1" s="1"/>
  <c r="G16" i="1"/>
  <c r="G7" i="1"/>
  <c r="G30" i="1" s="1"/>
  <c r="F16" i="1"/>
  <c r="F7" i="1"/>
  <c r="F30" i="1" s="1"/>
  <c r="E16" i="1"/>
  <c r="E7" i="1"/>
  <c r="E30" i="1" s="1"/>
  <c r="D16" i="1"/>
  <c r="D7" i="1"/>
  <c r="W7" i="1" s="1"/>
  <c r="Y27" i="1"/>
  <c r="X27" i="1"/>
  <c r="Y24" i="1"/>
  <c r="X24" i="1"/>
  <c r="Y22" i="1"/>
  <c r="X22" i="1"/>
  <c r="Y20" i="1"/>
  <c r="X20" i="1"/>
  <c r="Y18" i="1"/>
  <c r="X18" i="1"/>
  <c r="Y15" i="1"/>
  <c r="X15" i="1"/>
  <c r="Y14" i="1"/>
  <c r="X14" i="1"/>
  <c r="Y13" i="1"/>
  <c r="X13" i="1"/>
  <c r="Y12" i="1"/>
  <c r="X12" i="1"/>
  <c r="Y9" i="1"/>
  <c r="X9" i="1"/>
  <c r="Y8" i="1"/>
  <c r="Y32" i="1" s="1"/>
  <c r="X8" i="1"/>
  <c r="Y6" i="1"/>
  <c r="X6" i="1"/>
  <c r="Y5" i="1"/>
  <c r="X5" i="1"/>
  <c r="Y4" i="1"/>
  <c r="X4" i="1"/>
  <c r="X3" i="1"/>
  <c r="Y3" i="1"/>
  <c r="O32" i="1"/>
  <c r="N32" i="1"/>
  <c r="M32" i="1"/>
  <c r="L32" i="1"/>
  <c r="K32" i="1"/>
  <c r="J32" i="1"/>
  <c r="I32" i="1"/>
  <c r="H32" i="1"/>
  <c r="P32" i="1"/>
  <c r="H16" i="1"/>
  <c r="H7" i="1"/>
  <c r="I16" i="1"/>
  <c r="I7" i="1"/>
  <c r="I29" i="1" s="1"/>
  <c r="M16" i="1"/>
  <c r="M7" i="1"/>
  <c r="Q7" i="1" s="1"/>
  <c r="J16" i="1"/>
  <c r="J7" i="1"/>
  <c r="J29" i="1" s="1"/>
  <c r="N16" i="1"/>
  <c r="N7" i="1"/>
  <c r="R7" i="1" s="1"/>
  <c r="K16" i="1"/>
  <c r="K7" i="1"/>
  <c r="K30" i="1" s="1"/>
  <c r="O16" i="1"/>
  <c r="O7" i="1"/>
  <c r="S7" i="1" s="1"/>
  <c r="L16" i="1"/>
  <c r="L7" i="1"/>
  <c r="L30" i="1" s="1"/>
  <c r="P16" i="1"/>
  <c r="P7" i="1"/>
  <c r="L6" i="2"/>
  <c r="L5" i="2"/>
  <c r="L4" i="2"/>
  <c r="R4" i="1" l="1"/>
  <c r="R18" i="1"/>
  <c r="R5" i="1"/>
  <c r="R24" i="1"/>
  <c r="R8" i="1"/>
  <c r="R15" i="1"/>
  <c r="R20" i="1"/>
  <c r="R9" i="1"/>
  <c r="S4" i="1"/>
  <c r="S15" i="1"/>
  <c r="S24" i="1"/>
  <c r="S8" i="1"/>
  <c r="S18" i="1"/>
  <c r="S20" i="1"/>
  <c r="S9" i="1"/>
  <c r="Q9" i="1"/>
  <c r="Q4" i="1"/>
  <c r="Z4" i="1" s="1"/>
  <c r="Q24" i="1"/>
  <c r="Q8" i="1"/>
  <c r="Q20" i="1"/>
  <c r="Z20" i="1" s="1"/>
  <c r="Q18" i="1"/>
  <c r="Z18" i="1" s="1"/>
  <c r="Z7" i="1"/>
  <c r="Q15" i="1"/>
  <c r="Q6" i="1"/>
  <c r="Q3" i="1"/>
  <c r="H29" i="1"/>
  <c r="Y16" i="1"/>
  <c r="J30" i="1"/>
  <c r="D30" i="1"/>
  <c r="S5" i="1"/>
  <c r="R3" i="1"/>
  <c r="R6" i="1"/>
  <c r="S3" i="1"/>
  <c r="S6" i="1"/>
  <c r="Q5" i="1"/>
  <c r="Z5" i="1" s="1"/>
  <c r="C17" i="1"/>
  <c r="O29" i="1"/>
  <c r="N30" i="1"/>
  <c r="N29" i="1"/>
  <c r="X7" i="1"/>
  <c r="X29" i="1" s="1"/>
  <c r="G17" i="1"/>
  <c r="L29" i="1"/>
  <c r="P30" i="1"/>
  <c r="X16" i="1"/>
  <c r="Y7" i="1"/>
  <c r="M29" i="1"/>
  <c r="P29" i="1"/>
  <c r="M30" i="1"/>
  <c r="O30" i="1"/>
  <c r="F17" i="1"/>
  <c r="F33" i="1" s="1"/>
  <c r="E17" i="1"/>
  <c r="D17" i="1"/>
  <c r="H17" i="1"/>
  <c r="I17" i="1"/>
  <c r="M17" i="1"/>
  <c r="J17" i="1"/>
  <c r="N17" i="1"/>
  <c r="P17" i="1"/>
  <c r="K17" i="1"/>
  <c r="O17" i="1"/>
  <c r="L17" i="1"/>
  <c r="L8" i="2"/>
  <c r="L7" i="2"/>
  <c r="C21" i="1" l="1"/>
  <c r="C23" i="1" s="1"/>
  <c r="C25" i="1" s="1"/>
  <c r="C26" i="1" s="1"/>
  <c r="E21" i="1"/>
  <c r="E33" i="1"/>
  <c r="S16" i="1"/>
  <c r="S17" i="1" s="1"/>
  <c r="S21" i="1" s="1"/>
  <c r="G21" i="1"/>
  <c r="G33" i="1"/>
  <c r="Z24" i="1"/>
  <c r="R16" i="1"/>
  <c r="R17" i="1" s="1"/>
  <c r="R21" i="1" s="1"/>
  <c r="Z8" i="1"/>
  <c r="Q16" i="1"/>
  <c r="Z3" i="1"/>
  <c r="Z32" i="1" s="1"/>
  <c r="Z6" i="1"/>
  <c r="Z9" i="1"/>
  <c r="D21" i="1"/>
  <c r="D33" i="1"/>
  <c r="W17" i="1"/>
  <c r="W33" i="1" s="1"/>
  <c r="Z15" i="1"/>
  <c r="Y29" i="1"/>
  <c r="Z29" i="1"/>
  <c r="AA7" i="1"/>
  <c r="F21" i="1"/>
  <c r="O21" i="1"/>
  <c r="O33" i="1"/>
  <c r="P21" i="1"/>
  <c r="P33" i="1"/>
  <c r="N21" i="1"/>
  <c r="N33" i="1"/>
  <c r="J21" i="1"/>
  <c r="J33" i="1"/>
  <c r="M21" i="1"/>
  <c r="M33" i="1"/>
  <c r="K21" i="1"/>
  <c r="K33" i="1"/>
  <c r="I21" i="1"/>
  <c r="I33" i="1"/>
  <c r="L21" i="1"/>
  <c r="L33" i="1"/>
  <c r="Y17" i="1"/>
  <c r="Y33" i="1" s="1"/>
  <c r="H21" i="1"/>
  <c r="X17" i="1"/>
  <c r="X33" i="1" s="1"/>
  <c r="H33" i="1"/>
  <c r="D23" i="1" l="1"/>
  <c r="D35" i="1"/>
  <c r="W21" i="1"/>
  <c r="W35" i="1" s="1"/>
  <c r="AA18" i="1"/>
  <c r="AA29" i="1"/>
  <c r="AA24" i="1"/>
  <c r="AA8" i="1"/>
  <c r="AA15" i="1"/>
  <c r="AA20" i="1"/>
  <c r="AA5" i="1"/>
  <c r="AA6" i="1"/>
  <c r="AA4" i="1"/>
  <c r="AA3" i="1"/>
  <c r="AA32" i="1" s="1"/>
  <c r="AB7" i="1"/>
  <c r="AA9" i="1"/>
  <c r="G23" i="1"/>
  <c r="G25" i="1" s="1"/>
  <c r="G35" i="1"/>
  <c r="S22" i="1"/>
  <c r="S23" i="1"/>
  <c r="S25" i="1" s="1"/>
  <c r="S26" i="1" s="1"/>
  <c r="Q17" i="1"/>
  <c r="Z16" i="1"/>
  <c r="E23" i="1"/>
  <c r="E25" i="1" s="1"/>
  <c r="E35" i="1"/>
  <c r="F23" i="1"/>
  <c r="F25" i="1" s="1"/>
  <c r="F35" i="1"/>
  <c r="R22" i="1"/>
  <c r="R23" i="1" s="1"/>
  <c r="R25" i="1" s="1"/>
  <c r="R26" i="1" s="1"/>
  <c r="J23" i="1"/>
  <c r="J25" i="1" s="1"/>
  <c r="J35" i="1"/>
  <c r="I23" i="1"/>
  <c r="I25" i="1" s="1"/>
  <c r="I35" i="1"/>
  <c r="K23" i="1"/>
  <c r="K25" i="1" s="1"/>
  <c r="K35" i="1"/>
  <c r="P23" i="1"/>
  <c r="P35" i="1"/>
  <c r="L23" i="1"/>
  <c r="L35" i="1"/>
  <c r="Y21" i="1"/>
  <c r="Y35" i="1" s="1"/>
  <c r="N23" i="1"/>
  <c r="N25" i="1" s="1"/>
  <c r="N35" i="1"/>
  <c r="H23" i="1"/>
  <c r="H35" i="1"/>
  <c r="X21" i="1"/>
  <c r="X35" i="1" s="1"/>
  <c r="M23" i="1"/>
  <c r="M25" i="1" s="1"/>
  <c r="M35" i="1"/>
  <c r="O23" i="1"/>
  <c r="O25" i="1" s="1"/>
  <c r="O35" i="1"/>
  <c r="F26" i="1" l="1"/>
  <c r="F34" i="1"/>
  <c r="G26" i="1"/>
  <c r="G34" i="1"/>
  <c r="P25" i="1"/>
  <c r="AA16" i="1"/>
  <c r="AA17" i="1" s="1"/>
  <c r="Q21" i="1"/>
  <c r="Z17" i="1"/>
  <c r="Z33" i="1" s="1"/>
  <c r="E26" i="1"/>
  <c r="E34" i="1"/>
  <c r="AB9" i="1"/>
  <c r="AB15" i="1"/>
  <c r="AB20" i="1"/>
  <c r="AB6" i="1"/>
  <c r="AB4" i="1"/>
  <c r="AB29" i="1"/>
  <c r="AB24" i="1"/>
  <c r="AC7" i="1"/>
  <c r="AB18" i="1"/>
  <c r="AB5" i="1"/>
  <c r="AB3" i="1"/>
  <c r="AB32" i="1" s="1"/>
  <c r="AB8" i="1"/>
  <c r="D25" i="1"/>
  <c r="W23" i="1"/>
  <c r="N26" i="1"/>
  <c r="N34" i="1"/>
  <c r="H25" i="1"/>
  <c r="X23" i="1"/>
  <c r="I26" i="1"/>
  <c r="I34" i="1"/>
  <c r="P34" i="1"/>
  <c r="K26" i="1"/>
  <c r="K34" i="1"/>
  <c r="O26" i="1"/>
  <c r="O34" i="1"/>
  <c r="M26" i="1"/>
  <c r="M34" i="1"/>
  <c r="L25" i="1"/>
  <c r="Y23" i="1"/>
  <c r="J26" i="1"/>
  <c r="J34" i="1"/>
  <c r="D26" i="1" l="1"/>
  <c r="W26" i="1" s="1"/>
  <c r="W25" i="1"/>
  <c r="W34" i="1" s="1"/>
  <c r="D34" i="1"/>
  <c r="Q22" i="1"/>
  <c r="Z22" i="1" s="1"/>
  <c r="Z21" i="1"/>
  <c r="AB16" i="1"/>
  <c r="AB17" i="1" s="1"/>
  <c r="AA21" i="1"/>
  <c r="AA33" i="1"/>
  <c r="AC20" i="1"/>
  <c r="AC6" i="1"/>
  <c r="AC4" i="1"/>
  <c r="AD7" i="1"/>
  <c r="AC9" i="1"/>
  <c r="AC5" i="1"/>
  <c r="AC3" i="1"/>
  <c r="AC29" i="1"/>
  <c r="AC24" i="1"/>
  <c r="AC15" i="1"/>
  <c r="AC18" i="1"/>
  <c r="AC8" i="1"/>
  <c r="P26" i="1"/>
  <c r="H26" i="1"/>
  <c r="X26" i="1" s="1"/>
  <c r="H34" i="1"/>
  <c r="X25" i="1"/>
  <c r="X34" i="1" s="1"/>
  <c r="L26" i="1"/>
  <c r="Y26" i="1" s="1"/>
  <c r="Y25" i="1"/>
  <c r="Y34" i="1" s="1"/>
  <c r="L34" i="1"/>
  <c r="AA22" i="1" l="1"/>
  <c r="AA35" i="1" s="1"/>
  <c r="AD6" i="1"/>
  <c r="AD29" i="1"/>
  <c r="AD24" i="1"/>
  <c r="AD8" i="1"/>
  <c r="AD5" i="1"/>
  <c r="AD4" i="1"/>
  <c r="AE7" i="1"/>
  <c r="AD20" i="1"/>
  <c r="AD18" i="1"/>
  <c r="AD3" i="1"/>
  <c r="AD9" i="1"/>
  <c r="AD15" i="1"/>
  <c r="Z35" i="1"/>
  <c r="Q23" i="1"/>
  <c r="AC16" i="1"/>
  <c r="AC17" i="1" s="1"/>
  <c r="AB21" i="1"/>
  <c r="AB33" i="1"/>
  <c r="AC32" i="1"/>
  <c r="Q25" i="1" l="1"/>
  <c r="Z23" i="1"/>
  <c r="AD32" i="1"/>
  <c r="AC21" i="1"/>
  <c r="AC22" i="1" s="1"/>
  <c r="AC33" i="1"/>
  <c r="AD16" i="1"/>
  <c r="AD17" i="1" s="1"/>
  <c r="AB22" i="1"/>
  <c r="AB35" i="1" s="1"/>
  <c r="AB23" i="1"/>
  <c r="AB25" i="1" s="1"/>
  <c r="AE29" i="1"/>
  <c r="AE6" i="1"/>
  <c r="AE8" i="1"/>
  <c r="AF7" i="1"/>
  <c r="AE9" i="1"/>
  <c r="AE5" i="1"/>
  <c r="AE3" i="1"/>
  <c r="AE15" i="1"/>
  <c r="AE18" i="1"/>
  <c r="AE20" i="1"/>
  <c r="AE4" i="1"/>
  <c r="AE24" i="1"/>
  <c r="AA23" i="1"/>
  <c r="AA25" i="1" s="1"/>
  <c r="AB26" i="1" l="1"/>
  <c r="AB34" i="1"/>
  <c r="AE32" i="1"/>
  <c r="AD21" i="1"/>
  <c r="AD22" i="1" s="1"/>
  <c r="AD33" i="1"/>
  <c r="AF29" i="1"/>
  <c r="AF20" i="1"/>
  <c r="AF24" i="1"/>
  <c r="AF3" i="1"/>
  <c r="AF8" i="1"/>
  <c r="AF5" i="1"/>
  <c r="AF6" i="1"/>
  <c r="AF9" i="1"/>
  <c r="AG7" i="1"/>
  <c r="AF15" i="1"/>
  <c r="AF18" i="1"/>
  <c r="AF4" i="1"/>
  <c r="AA26" i="1"/>
  <c r="AA34" i="1"/>
  <c r="AC23" i="1"/>
  <c r="AC25" i="1" s="1"/>
  <c r="AC35" i="1"/>
  <c r="AE16" i="1"/>
  <c r="AE17" i="1" s="1"/>
  <c r="Q26" i="1"/>
  <c r="Z26" i="1" s="1"/>
  <c r="Z25" i="1"/>
  <c r="Z34" i="1" s="1"/>
  <c r="AG29" i="1" l="1"/>
  <c r="AG9" i="1"/>
  <c r="AG3" i="1"/>
  <c r="AG18" i="1"/>
  <c r="AH7" i="1"/>
  <c r="AG20" i="1"/>
  <c r="AG8" i="1"/>
  <c r="AG16" i="1" s="1"/>
  <c r="AG17" i="1" s="1"/>
  <c r="AG4" i="1"/>
  <c r="AG6" i="1"/>
  <c r="AG15" i="1"/>
  <c r="AG24" i="1"/>
  <c r="AG5" i="1"/>
  <c r="AE21" i="1"/>
  <c r="AE22" i="1" s="1"/>
  <c r="AE33" i="1"/>
  <c r="AC26" i="1"/>
  <c r="AC34" i="1"/>
  <c r="AF16" i="1"/>
  <c r="AF17" i="1" s="1"/>
  <c r="AD23" i="1"/>
  <c r="AD25" i="1" s="1"/>
  <c r="AD35" i="1"/>
  <c r="AF32" i="1"/>
  <c r="AG21" i="1" l="1"/>
  <c r="AG22" i="1" s="1"/>
  <c r="AG33" i="1"/>
  <c r="AE23" i="1"/>
  <c r="AE25" i="1" s="1"/>
  <c r="AE35" i="1"/>
  <c r="AH29" i="1"/>
  <c r="AH15" i="1"/>
  <c r="AH6" i="1"/>
  <c r="AH5" i="1"/>
  <c r="AH9" i="1"/>
  <c r="AI7" i="1"/>
  <c r="AH8" i="1"/>
  <c r="AH4" i="1"/>
  <c r="AH3" i="1"/>
  <c r="AH32" i="1" s="1"/>
  <c r="AH20" i="1"/>
  <c r="AH24" i="1"/>
  <c r="AH18" i="1"/>
  <c r="AG32" i="1"/>
  <c r="AD26" i="1"/>
  <c r="AD34" i="1"/>
  <c r="AF21" i="1"/>
  <c r="AF22" i="1" s="1"/>
  <c r="AF33" i="1"/>
  <c r="AH16" i="1" l="1"/>
  <c r="AH17" i="1" s="1"/>
  <c r="AF23" i="1"/>
  <c r="AF25" i="1" s="1"/>
  <c r="AF35" i="1"/>
  <c r="AE26" i="1"/>
  <c r="AE34" i="1"/>
  <c r="AI29" i="1"/>
  <c r="AJ7" i="1"/>
  <c r="AI3" i="1"/>
  <c r="AI32" i="1" s="1"/>
  <c r="AI5" i="1"/>
  <c r="AI6" i="1"/>
  <c r="AI24" i="1"/>
  <c r="AI4" i="1"/>
  <c r="AI15" i="1"/>
  <c r="AI9" i="1"/>
  <c r="AI20" i="1"/>
  <c r="AI8" i="1"/>
  <c r="AI16" i="1" s="1"/>
  <c r="AI17" i="1" s="1"/>
  <c r="AI18" i="1"/>
  <c r="AG23" i="1"/>
  <c r="AG25" i="1" s="1"/>
  <c r="AG35" i="1"/>
  <c r="AJ6" i="1" l="1"/>
  <c r="AJ4" i="1"/>
  <c r="AJ20" i="1"/>
  <c r="AJ9" i="1"/>
  <c r="AJ24" i="1"/>
  <c r="AJ18" i="1"/>
  <c r="AJ5" i="1"/>
  <c r="AJ3" i="1"/>
  <c r="AJ32" i="1" s="1"/>
  <c r="AJ8" i="1"/>
  <c r="AJ15" i="1"/>
  <c r="AJ29" i="1"/>
  <c r="AI21" i="1"/>
  <c r="AI22" i="1" s="1"/>
  <c r="AI33" i="1"/>
  <c r="AG26" i="1"/>
  <c r="AG34" i="1"/>
  <c r="AF26" i="1"/>
  <c r="AF34" i="1"/>
  <c r="AH21" i="1"/>
  <c r="AH22" i="1" s="1"/>
  <c r="AH33" i="1"/>
  <c r="AI23" i="1" l="1"/>
  <c r="AI25" i="1" s="1"/>
  <c r="AI35" i="1"/>
  <c r="AH23" i="1"/>
  <c r="AH25" i="1" s="1"/>
  <c r="AH35" i="1"/>
  <c r="AJ16" i="1"/>
  <c r="AJ17" i="1" s="1"/>
  <c r="AJ21" i="1" l="1"/>
  <c r="AJ33" i="1"/>
  <c r="AH26" i="1"/>
  <c r="AH34" i="1"/>
  <c r="AI26" i="1"/>
  <c r="AI34" i="1"/>
  <c r="AJ22" i="1" l="1"/>
  <c r="AJ35" i="1" s="1"/>
  <c r="AJ23" i="1"/>
  <c r="AJ25" i="1" s="1"/>
  <c r="AJ26" i="1" l="1"/>
  <c r="AJ34" i="1"/>
</calcChain>
</file>

<file path=xl/sharedStrings.xml><?xml version="1.0" encoding="utf-8"?>
<sst xmlns="http://schemas.openxmlformats.org/spreadsheetml/2006/main" count="109" uniqueCount="101">
  <si>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</si>
  <si>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</si>
  <si>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</si>
  <si>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</si>
  <si>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</si>
  <si>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</si>
  <si>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</si>
  <si>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</si>
  <si>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</si>
  <si>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</si>
  <si>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</si>
  <si>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</si>
  <si>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</si>
  <si>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</si>
  <si>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</si>
  <si>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</si>
  <si>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</si>
  <si>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</si>
  <si>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</si>
  <si>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</si>
  <si>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</si>
  <si>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</si>
  <si>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</si>
  <si>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</si>
  <si>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</si>
  <si>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</si>
  <si>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</si>
  <si>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</si>
  <si>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CVS HEALTH CORPORATION</t>
  </si>
  <si>
    <t>CVS</t>
  </si>
  <si>
    <t>CVS Health Corp, is a health solutions company, which engages in the provision</t>
  </si>
  <si>
    <t>of healthcare services. It operates through the following segments:</t>
  </si>
  <si>
    <t>Health Care Benefits</t>
  </si>
  <si>
    <t>Health Services</t>
  </si>
  <si>
    <t>Pharmacy and Consumer Wellness</t>
  </si>
  <si>
    <t>Corporate &amp; Other</t>
  </si>
  <si>
    <t>The Health Services segment offers a full range of PBM solutions, delivers health</t>
  </si>
  <si>
    <t xml:space="preserve">care services in its medical clinics, virtually, and in the home. </t>
  </si>
  <si>
    <t>The Pharmacy &amp; Consumer Wellness segment dispenses prescriptions in its retail</t>
  </si>
  <si>
    <t>pharmacies and through its infusion operations.</t>
  </si>
  <si>
    <t xml:space="preserve">The Corporate &amp; Other segment is involved in management and administrative </t>
  </si>
  <si>
    <t>expenses.</t>
  </si>
  <si>
    <t>Karen S. Lynch</t>
  </si>
  <si>
    <t>Executives</t>
  </si>
  <si>
    <t>Name</t>
  </si>
  <si>
    <t>Age</t>
  </si>
  <si>
    <t>Role</t>
  </si>
  <si>
    <t>Thomas F. Cowhey</t>
  </si>
  <si>
    <t>CFO</t>
  </si>
  <si>
    <t>James D. Clark</t>
  </si>
  <si>
    <t>CAO</t>
  </si>
  <si>
    <t>Sreekanth Chaguturu</t>
  </si>
  <si>
    <t>Chief Medical</t>
  </si>
  <si>
    <t>Laurie P. Havanec</t>
  </si>
  <si>
    <t>Chief People Officer</t>
  </si>
  <si>
    <t>J. David Joyner</t>
  </si>
  <si>
    <t>Brian A. Kane</t>
  </si>
  <si>
    <t>Samrat S. Khichi</t>
  </si>
  <si>
    <t>Tilak Mandadi</t>
  </si>
  <si>
    <t>Prem S. Shah</t>
  </si>
  <si>
    <t>Chief Pharmacy Officer</t>
  </si>
  <si>
    <t>CTO</t>
  </si>
  <si>
    <t>Chief Policy and General Counsel</t>
  </si>
  <si>
    <t>Executive Vice President</t>
  </si>
  <si>
    <t>President of Pharmacy Services</t>
  </si>
  <si>
    <t>Products</t>
  </si>
  <si>
    <t>Premiums</t>
  </si>
  <si>
    <t>Services</t>
  </si>
  <si>
    <t>Net investment income</t>
  </si>
  <si>
    <t>Revenue</t>
  </si>
  <si>
    <t>Cost of products sold</t>
  </si>
  <si>
    <t>Health care cost</t>
  </si>
  <si>
    <t>Loss on assets held for sale</t>
  </si>
  <si>
    <t>Operating expenses</t>
  </si>
  <si>
    <t>Operating income</t>
  </si>
  <si>
    <t>Interest expense</t>
  </si>
  <si>
    <t>Other income</t>
  </si>
  <si>
    <t>Pretax</t>
  </si>
  <si>
    <t>Taxes</t>
  </si>
  <si>
    <t>Net income</t>
  </si>
  <si>
    <t>Noncontrolling interest</t>
  </si>
  <si>
    <t xml:space="preserve">CVS Health </t>
  </si>
  <si>
    <t>EPS</t>
  </si>
  <si>
    <t>Restructuring charges</t>
  </si>
  <si>
    <t>Opioid litigation charges</t>
  </si>
  <si>
    <t>Revenue Y/Y</t>
  </si>
  <si>
    <t>Revenue Q/Q</t>
  </si>
  <si>
    <t>Gross Margin %</t>
  </si>
  <si>
    <t>Operating Margin %</t>
  </si>
  <si>
    <t>Net Margin %</t>
  </si>
  <si>
    <t>Tax Rate %</t>
  </si>
  <si>
    <r>
      <t xml:space="preserve">Incorporated in </t>
    </r>
    <r>
      <rPr>
        <b/>
        <sz val="11"/>
        <color theme="1"/>
        <rFont val="Arial"/>
        <family val="2"/>
      </rPr>
      <t>1963</t>
    </r>
    <r>
      <rPr>
        <sz val="11"/>
        <color theme="1"/>
        <rFont val="Arial"/>
        <family val="2"/>
      </rPr>
      <t>. Headquartered in Woonsocket, RI.</t>
    </r>
  </si>
  <si>
    <t>Goodwill impairment</t>
  </si>
  <si>
    <t>Loss on early extinguishment of debt</t>
  </si>
  <si>
    <t>Store impairments</t>
  </si>
  <si>
    <t>Maturity</t>
  </si>
  <si>
    <t>Discount</t>
  </si>
  <si>
    <t>NPV</t>
  </si>
  <si>
    <t>Value</t>
  </si>
  <si>
    <t>Per Share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</si>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</sst>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Bw Haas Grotesk"/>
    </font>
    <font>
      <b/>
      <u/>
      <sz val="11"/>
      <color theme="1"/>
      <name val="Bw Haas Grotesk"/>
    </font>
    <font>
      <b/>
      <sz val="11"/>
      <color theme="1"/>
      <name val="Bw Haas Grotesk"/>
    </font>
    <font>
      <b/>
      <u/>
      <sz val="16"/>
      <color theme="1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4"/>
      <color theme="1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right"/>
    </xf>
    <xf numFmtId="3" fontId="3" fillId="0" borderId="0" xfId="0" applyNumberFormat="1" applyFont="1"/>
    <xf numFmtId="0" fontId="5" fillId="0" borderId="0" xfId="0" applyFont="1"/>
    <xf numFmtId="3" fontId="5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0" fontId="6" fillId="2" borderId="0" xfId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3" fontId="8" fillId="2" borderId="0" xfId="0" applyNumberFormat="1" applyFont="1" applyFill="1"/>
    <xf numFmtId="3" fontId="9" fillId="2" borderId="0" xfId="0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1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2" fontId="8" fillId="0" borderId="1" xfId="0" applyNumberFormat="1" applyFont="1" applyBorder="1"/>
    <xf numFmtId="3" fontId="8" fillId="0" borderId="1" xfId="0" applyNumberFormat="1" applyFont="1" applyBorder="1"/>
    <xf numFmtId="0" fontId="8" fillId="0" borderId="5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0" xfId="0" quotePrefix="1" applyFont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2" borderId="1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6" xfId="0" applyFont="1" applyFill="1" applyBorder="1"/>
    <xf numFmtId="0" fontId="8" fillId="2" borderId="5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6" xfId="0" applyFont="1" applyFill="1" applyBorder="1" applyAlignment="1">
      <alignment horizontal="center"/>
    </xf>
    <xf numFmtId="164" fontId="3" fillId="0" borderId="0" xfId="0" applyNumberFormat="1" applyFont="1"/>
    <xf numFmtId="10" fontId="3" fillId="0" borderId="0" xfId="0" applyNumberFormat="1" applyFont="1"/>
    <xf numFmtId="1" fontId="3" fillId="0" borderId="0" xfId="0" applyNumberFormat="1" applyFont="1"/>
    <xf numFmtId="0" fontId="3" fillId="3" borderId="2" xfId="0" applyFont="1" applyFill="1" applyBorder="1"/>
    <xf numFmtId="9" fontId="3" fillId="3" borderId="4" xfId="2" applyFont="1" applyFill="1" applyBorder="1"/>
    <xf numFmtId="0" fontId="5" fillId="3" borderId="5" xfId="0" applyFont="1" applyFill="1" applyBorder="1"/>
    <xf numFmtId="9" fontId="5" fillId="3" borderId="6" xfId="2" applyFont="1" applyFill="1" applyBorder="1"/>
    <xf numFmtId="3" fontId="3" fillId="3" borderId="5" xfId="0" applyNumberFormat="1" applyFont="1" applyFill="1" applyBorder="1"/>
    <xf numFmtId="3" fontId="3" fillId="3" borderId="6" xfId="0" applyNumberFormat="1" applyFont="1" applyFill="1" applyBorder="1"/>
    <xf numFmtId="0" fontId="3" fillId="3" borderId="5" xfId="0" applyFont="1" applyFill="1" applyBorder="1"/>
    <xf numFmtId="2" fontId="3" fillId="3" borderId="6" xfId="0" applyNumberFormat="1" applyFont="1" applyFill="1" applyBorder="1"/>
    <xf numFmtId="0" fontId="3" fillId="3" borderId="7" xfId="0" applyFont="1" applyFill="1" applyBorder="1"/>
    <xf numFmtId="10" fontId="3" fillId="3" borderId="9" xfId="0" applyNumberFormat="1" applyFont="1" applyFill="1" applyBorder="1"/>
  </cellXfs>
  <cellStyles count="3">
    <cellStyle name="Prósent" xfId="2" builtinId="5"/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87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493</xdr:colOff>
      <xdr:row>87</xdr:row>
      <xdr:rowOff>156309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A3066EE5-CFD0-4D4D-8F0A-11C26C42B66F}"/>
            </a:ext>
          </a:extLst>
        </xdr:cNvPr>
        <xdr:cNvCxnSpPr/>
      </xdr:nvCxnSpPr>
      <xdr:spPr>
        <a:xfrm>
          <a:off x="11514083" y="268014"/>
          <a:ext cx="493" cy="15764171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34"/>
  <sheetViews>
    <sheetView workbookViewId="0">
      <selection activeCell="J35" sqref="J35"/>
    </sheetView>
  </sheetViews>
  <sheetFormatPr defaultRowHeight="13.8"/>
  <cols>
    <col min="1" max="1" width="8.88671875" style="16"/>
    <col min="2" max="2" width="18.109375" style="16" customWidth="1"/>
    <col min="3" max="3" width="8.88671875" style="16"/>
    <col min="4" max="4" width="8.88671875" style="16" customWidth="1"/>
    <col min="5" max="11" width="8.88671875" style="16"/>
    <col min="12" max="12" width="15.109375" style="16" customWidth="1"/>
    <col min="13" max="13" width="9.109375" style="16" customWidth="1"/>
    <col min="14" max="16384" width="8.88671875" style="16"/>
  </cols>
  <sheetData>
    <row r="1" spans="2:13" ht="21">
      <c r="B1" s="15" t="s">
        <v>18</v>
      </c>
      <c r="K1" s="37" t="s">
        <v>29</v>
      </c>
      <c r="L1" s="37"/>
    </row>
    <row r="2" spans="2:13" ht="22.8">
      <c r="B2" s="38" t="s">
        <v>28</v>
      </c>
      <c r="C2" s="38"/>
      <c r="D2" s="38"/>
      <c r="E2" s="38"/>
      <c r="F2" s="38"/>
      <c r="G2" s="38"/>
      <c r="H2" s="38"/>
      <c r="I2" s="38"/>
      <c r="K2" s="17" t="s">
        <v>0</v>
      </c>
      <c r="L2" s="18">
        <v>57.52</v>
      </c>
    </row>
    <row r="3" spans="2:13">
      <c r="K3" s="17" t="s">
        <v>1</v>
      </c>
      <c r="L3" s="19">
        <v>1255.3729719999999</v>
      </c>
      <c r="M3" s="20" t="s">
        <v>24</v>
      </c>
    </row>
    <row r="4" spans="2:13">
      <c r="B4" s="21" t="s">
        <v>91</v>
      </c>
      <c r="C4" s="22"/>
      <c r="D4" s="22"/>
      <c r="E4" s="22"/>
      <c r="F4" s="22"/>
      <c r="G4" s="22"/>
      <c r="H4" s="22"/>
      <c r="I4" s="23"/>
      <c r="K4" s="17" t="s">
        <v>2</v>
      </c>
      <c r="L4" s="19">
        <f>L3*L2</f>
        <v>72209.053349440001</v>
      </c>
    </row>
    <row r="5" spans="2:13">
      <c r="B5" s="20"/>
      <c r="I5" s="24"/>
      <c r="K5" s="17" t="s">
        <v>3</v>
      </c>
      <c r="L5" s="19">
        <f>9801+3288</f>
        <v>13089</v>
      </c>
      <c r="M5" s="20" t="s">
        <v>24</v>
      </c>
    </row>
    <row r="6" spans="2:13">
      <c r="B6" s="20" t="s">
        <v>30</v>
      </c>
      <c r="I6" s="24"/>
      <c r="K6" s="17" t="s">
        <v>4</v>
      </c>
      <c r="L6" s="19">
        <f>57694+15742+2719+3731+1906</f>
        <v>81792</v>
      </c>
      <c r="M6" s="20" t="s">
        <v>24</v>
      </c>
    </row>
    <row r="7" spans="2:13">
      <c r="B7" s="20" t="s">
        <v>31</v>
      </c>
      <c r="I7" s="24"/>
      <c r="K7" s="17" t="s">
        <v>5</v>
      </c>
      <c r="L7" s="19">
        <f>L4-L5+L6</f>
        <v>140912.05334943999</v>
      </c>
    </row>
    <row r="8" spans="2:13">
      <c r="B8" s="20"/>
      <c r="I8" s="24"/>
      <c r="K8" s="17" t="s">
        <v>6</v>
      </c>
      <c r="L8" s="19">
        <f>L5-L6</f>
        <v>-68703</v>
      </c>
    </row>
    <row r="9" spans="2:13">
      <c r="B9" s="39" t="s">
        <v>32</v>
      </c>
      <c r="C9" s="40"/>
      <c r="D9" s="40"/>
      <c r="E9" s="40"/>
      <c r="F9" s="40"/>
      <c r="G9" s="40"/>
      <c r="H9" s="40"/>
      <c r="I9" s="41"/>
      <c r="K9" s="17"/>
      <c r="L9" s="17"/>
    </row>
    <row r="10" spans="2:13">
      <c r="B10" s="45" t="s">
        <v>33</v>
      </c>
      <c r="C10" s="46"/>
      <c r="D10" s="46"/>
      <c r="E10" s="46"/>
      <c r="F10" s="46"/>
      <c r="G10" s="46"/>
      <c r="H10" s="46"/>
      <c r="I10" s="47"/>
      <c r="K10" s="17" t="s">
        <v>7</v>
      </c>
      <c r="L10" s="17" t="s">
        <v>42</v>
      </c>
    </row>
    <row r="11" spans="2:13">
      <c r="B11" s="45" t="s">
        <v>34</v>
      </c>
      <c r="C11" s="46"/>
      <c r="D11" s="46"/>
      <c r="E11" s="46"/>
      <c r="F11" s="46"/>
      <c r="G11" s="46"/>
      <c r="H11" s="46"/>
      <c r="I11" s="47"/>
    </row>
    <row r="12" spans="2:13">
      <c r="B12" s="42" t="s">
        <v>35</v>
      </c>
      <c r="C12" s="43"/>
      <c r="D12" s="43"/>
      <c r="E12" s="43"/>
      <c r="F12" s="43"/>
      <c r="G12" s="43"/>
      <c r="H12" s="43"/>
      <c r="I12" s="44"/>
    </row>
    <row r="13" spans="2:13">
      <c r="B13" s="20"/>
      <c r="I13" s="24"/>
    </row>
    <row r="14" spans="2:13">
      <c r="B14" s="20" t="s">
        <v>36</v>
      </c>
      <c r="I14" s="24"/>
    </row>
    <row r="15" spans="2:13">
      <c r="B15" s="20" t="s">
        <v>37</v>
      </c>
      <c r="I15" s="24"/>
    </row>
    <row r="16" spans="2:13">
      <c r="B16" s="20"/>
      <c r="F16" s="25" t="s">
        <v>17</v>
      </c>
      <c r="I16" s="24"/>
    </row>
    <row r="17" spans="2:9">
      <c r="B17" s="20" t="s">
        <v>38</v>
      </c>
      <c r="I17" s="24"/>
    </row>
    <row r="18" spans="2:9">
      <c r="B18" s="20" t="s">
        <v>39</v>
      </c>
      <c r="I18" s="24"/>
    </row>
    <row r="19" spans="2:9">
      <c r="B19" s="20"/>
      <c r="I19" s="24"/>
    </row>
    <row r="20" spans="2:9">
      <c r="B20" s="20" t="s">
        <v>40</v>
      </c>
      <c r="I20" s="24"/>
    </row>
    <row r="21" spans="2:9">
      <c r="B21" s="26" t="s">
        <v>41</v>
      </c>
      <c r="C21" s="27"/>
      <c r="D21" s="27"/>
      <c r="E21" s="27"/>
      <c r="F21" s="27"/>
      <c r="G21" s="27"/>
      <c r="H21" s="27"/>
      <c r="I21" s="28"/>
    </row>
    <row r="23" spans="2:9">
      <c r="B23" s="16" t="s">
        <v>43</v>
      </c>
    </row>
    <row r="24" spans="2:9">
      <c r="B24" s="29" t="s">
        <v>44</v>
      </c>
      <c r="C24" s="29" t="s">
        <v>45</v>
      </c>
      <c r="D24" s="29" t="s">
        <v>46</v>
      </c>
      <c r="E24" s="30"/>
      <c r="F24" s="30"/>
      <c r="G24" s="31"/>
    </row>
    <row r="25" spans="2:9">
      <c r="B25" s="29" t="s">
        <v>42</v>
      </c>
      <c r="C25" s="29">
        <v>61</v>
      </c>
      <c r="D25" s="29" t="s">
        <v>7</v>
      </c>
      <c r="E25" s="13"/>
      <c r="F25" s="13"/>
      <c r="G25" s="32"/>
    </row>
    <row r="26" spans="2:9">
      <c r="B26" s="29" t="s">
        <v>47</v>
      </c>
      <c r="C26" s="29">
        <v>51</v>
      </c>
      <c r="D26" s="29" t="s">
        <v>48</v>
      </c>
      <c r="E26" s="13"/>
      <c r="F26" s="13"/>
      <c r="G26" s="32"/>
    </row>
    <row r="27" spans="2:9">
      <c r="B27" s="29" t="s">
        <v>49</v>
      </c>
      <c r="C27" s="29">
        <v>59</v>
      </c>
      <c r="D27" s="29" t="s">
        <v>50</v>
      </c>
      <c r="E27" s="13"/>
      <c r="F27" s="13"/>
      <c r="G27" s="32"/>
    </row>
    <row r="28" spans="2:9">
      <c r="B28" s="29" t="s">
        <v>51</v>
      </c>
      <c r="C28" s="29">
        <v>45</v>
      </c>
      <c r="D28" s="33" t="s">
        <v>52</v>
      </c>
      <c r="E28" s="13"/>
      <c r="F28" s="13"/>
      <c r="G28" s="32"/>
    </row>
    <row r="29" spans="2:9">
      <c r="B29" s="29" t="s">
        <v>53</v>
      </c>
      <c r="C29" s="29">
        <v>63</v>
      </c>
      <c r="D29" s="33" t="s">
        <v>54</v>
      </c>
      <c r="E29" s="13"/>
      <c r="F29" s="13"/>
      <c r="G29" s="32"/>
    </row>
    <row r="30" spans="2:9">
      <c r="B30" s="29" t="s">
        <v>55</v>
      </c>
      <c r="C30" s="29">
        <v>59</v>
      </c>
      <c r="D30" s="33" t="s">
        <v>64</v>
      </c>
      <c r="E30" s="13"/>
      <c r="F30" s="13"/>
      <c r="G30" s="32"/>
    </row>
    <row r="31" spans="2:9">
      <c r="B31" s="29" t="s">
        <v>56</v>
      </c>
      <c r="C31" s="29">
        <v>51</v>
      </c>
      <c r="D31" s="33" t="s">
        <v>63</v>
      </c>
      <c r="E31" s="13"/>
      <c r="F31" s="13"/>
      <c r="G31" s="32"/>
    </row>
    <row r="32" spans="2:9">
      <c r="B32" s="29" t="s">
        <v>57</v>
      </c>
      <c r="C32" s="29">
        <v>56</v>
      </c>
      <c r="D32" s="33" t="s">
        <v>62</v>
      </c>
      <c r="E32" s="13"/>
      <c r="F32" s="13"/>
      <c r="G32" s="32"/>
    </row>
    <row r="33" spans="2:7">
      <c r="B33" s="29" t="s">
        <v>58</v>
      </c>
      <c r="C33" s="29">
        <v>60</v>
      </c>
      <c r="D33" s="29" t="s">
        <v>61</v>
      </c>
      <c r="E33" s="13"/>
      <c r="F33" s="13"/>
      <c r="G33" s="32"/>
    </row>
    <row r="34" spans="2:7">
      <c r="B34" s="29" t="s">
        <v>59</v>
      </c>
      <c r="C34" s="29">
        <v>44</v>
      </c>
      <c r="D34" s="34" t="s">
        <v>60</v>
      </c>
      <c r="E34" s="35"/>
      <c r="F34" s="35"/>
      <c r="G34" s="36"/>
    </row>
  </sheetData>
  <mergeCells count="6">
    <mergeCell ref="K1:L1"/>
    <mergeCell ref="B2:I2"/>
    <mergeCell ref="B9:I9"/>
    <mergeCell ref="B12:I12"/>
    <mergeCell ref="B11:I11"/>
    <mergeCell ref="B10:I10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GF35"/>
  <sheetViews>
    <sheetView tabSelected="1" zoomScale="130" zoomScaleNormal="130" workbookViewId="0">
      <pane xSplit="1" ySplit="2" topLeftCell="Z12" activePane="bottomRight" state="frozen"/>
      <selection pane="topRight" activeCell="C1" sqref="C1"/>
      <selection pane="bottomLeft" activeCell="A3" sqref="A3"/>
      <selection pane="bottomRight" activeCell="AO28" sqref="AO28"/>
    </sheetView>
  </sheetViews>
  <sheetFormatPr defaultRowHeight="13.8"/>
  <cols>
    <col min="1" max="1" width="34.5546875" style="13" customWidth="1"/>
    <col min="2" max="37" width="8.88671875" style="1"/>
    <col min="38" max="38" width="10.33203125" style="1" customWidth="1"/>
    <col min="39" max="16384" width="8.88671875" style="1"/>
  </cols>
  <sheetData>
    <row r="1" spans="1:44" s="2" customFormat="1" ht="21">
      <c r="A1" s="9" t="s">
        <v>16</v>
      </c>
    </row>
    <row r="2" spans="1:44" s="3" customFormat="1">
      <c r="A2" s="10"/>
      <c r="C2" s="3" t="s">
        <v>23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14</v>
      </c>
      <c r="I2" s="3" t="s">
        <v>15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8</v>
      </c>
      <c r="O2" s="3" t="s">
        <v>9</v>
      </c>
      <c r="P2" s="3" t="s">
        <v>24</v>
      </c>
      <c r="Q2" s="3" t="s">
        <v>25</v>
      </c>
      <c r="R2" s="3" t="s">
        <v>26</v>
      </c>
      <c r="S2" s="3" t="s">
        <v>27</v>
      </c>
      <c r="U2" s="3">
        <v>2019</v>
      </c>
      <c r="V2" s="3">
        <v>2020</v>
      </c>
      <c r="W2" s="3">
        <v>2021</v>
      </c>
      <c r="X2" s="3">
        <v>2022</v>
      </c>
      <c r="Y2" s="3">
        <v>2023</v>
      </c>
      <c r="Z2" s="3">
        <v>2024</v>
      </c>
      <c r="AA2" s="3">
        <v>2025</v>
      </c>
      <c r="AB2" s="3">
        <v>2026</v>
      </c>
      <c r="AC2" s="3">
        <v>2027</v>
      </c>
      <c r="AD2" s="3">
        <v>2028</v>
      </c>
      <c r="AE2" s="3">
        <v>2029</v>
      </c>
      <c r="AF2" s="3">
        <v>2030</v>
      </c>
      <c r="AG2" s="3">
        <v>2031</v>
      </c>
      <c r="AH2" s="3">
        <v>2032</v>
      </c>
      <c r="AI2" s="3">
        <v>2033</v>
      </c>
      <c r="AJ2" s="3">
        <v>2034</v>
      </c>
      <c r="AK2" s="3">
        <v>2035</v>
      </c>
      <c r="AL2" s="3">
        <v>2036</v>
      </c>
      <c r="AM2" s="3">
        <v>2037</v>
      </c>
      <c r="AN2" s="3">
        <v>2038</v>
      </c>
      <c r="AO2" s="3">
        <v>2039</v>
      </c>
      <c r="AP2" s="3">
        <v>2040</v>
      </c>
      <c r="AQ2" s="3">
        <v>2041</v>
      </c>
      <c r="AR2" s="3">
        <v>2042</v>
      </c>
    </row>
    <row r="3" spans="1:44" s="4" customFormat="1">
      <c r="A3" s="11" t="s">
        <v>65</v>
      </c>
      <c r="C3" s="4">
        <v>49592</v>
      </c>
      <c r="D3" s="4">
        <v>47387</v>
      </c>
      <c r="E3" s="4">
        <v>50525</v>
      </c>
      <c r="F3" s="4">
        <v>51853</v>
      </c>
      <c r="G3" s="4">
        <v>53973</v>
      </c>
      <c r="H3" s="4">
        <v>52522</v>
      </c>
      <c r="I3" s="4">
        <v>56794</v>
      </c>
      <c r="J3" s="4">
        <v>57643</v>
      </c>
      <c r="K3" s="4">
        <v>59657</v>
      </c>
      <c r="L3" s="4">
        <v>58147</v>
      </c>
      <c r="M3" s="4">
        <v>60539</v>
      </c>
      <c r="N3" s="4">
        <v>61298</v>
      </c>
      <c r="O3" s="4">
        <v>65154</v>
      </c>
      <c r="P3" s="4">
        <v>53724</v>
      </c>
      <c r="Q3" s="4">
        <f>Q7*0.6936</f>
        <v>66609.654048000011</v>
      </c>
      <c r="R3" s="4">
        <f>R7*0.6986</f>
        <v>65907.296050399993</v>
      </c>
      <c r="S3" s="4">
        <f>S7*0.7059</f>
        <v>70460.842888800005</v>
      </c>
      <c r="W3" s="4">
        <f>SUM(D3:G3)</f>
        <v>203738</v>
      </c>
      <c r="X3" s="4">
        <f>SUM(H3:K3)</f>
        <v>226616</v>
      </c>
      <c r="Y3" s="4">
        <f>SUM(L3:O3)</f>
        <v>245138</v>
      </c>
      <c r="Z3" s="4">
        <f>SUM(P3:S3)</f>
        <v>256701.79298720002</v>
      </c>
      <c r="AA3" s="4">
        <f t="shared" ref="AA3:AJ3" si="0">AA7*0.7059</f>
        <v>288657.42572347203</v>
      </c>
      <c r="AB3" s="4">
        <f t="shared" si="0"/>
        <v>303378.95443536906</v>
      </c>
      <c r="AC3" s="4">
        <f t="shared" si="0"/>
        <v>318851.28111157287</v>
      </c>
      <c r="AD3" s="4">
        <f t="shared" si="0"/>
        <v>335112.69644826313</v>
      </c>
      <c r="AE3" s="4">
        <f t="shared" si="0"/>
        <v>352203.44396712451</v>
      </c>
      <c r="AF3" s="4">
        <f t="shared" si="0"/>
        <v>370165.81960944785</v>
      </c>
      <c r="AG3" s="4">
        <f t="shared" si="0"/>
        <v>389044.27640952967</v>
      </c>
      <c r="AH3" s="4">
        <f t="shared" si="0"/>
        <v>408885.53450641566</v>
      </c>
      <c r="AI3" s="4">
        <f t="shared" si="0"/>
        <v>429738.69676624285</v>
      </c>
      <c r="AJ3" s="4">
        <f t="shared" si="0"/>
        <v>440482.1641853989</v>
      </c>
    </row>
    <row r="4" spans="1:44" s="4" customFormat="1">
      <c r="A4" s="11" t="s">
        <v>66</v>
      </c>
      <c r="C4" s="4">
        <v>17615</v>
      </c>
      <c r="D4" s="4">
        <v>18960</v>
      </c>
      <c r="E4" s="4">
        <v>18983</v>
      </c>
      <c r="F4" s="4">
        <v>18984</v>
      </c>
      <c r="G4" s="4">
        <v>19205</v>
      </c>
      <c r="H4" s="4">
        <v>21631</v>
      </c>
      <c r="I4" s="4">
        <v>21260</v>
      </c>
      <c r="J4" s="4">
        <v>21003</v>
      </c>
      <c r="K4" s="4">
        <v>21436</v>
      </c>
      <c r="L4" s="4">
        <v>24352</v>
      </c>
      <c r="M4" s="4">
        <v>25108</v>
      </c>
      <c r="N4" s="4">
        <v>24657</v>
      </c>
      <c r="O4" s="4">
        <v>25075</v>
      </c>
      <c r="P4" s="4">
        <v>30391</v>
      </c>
      <c r="Q4" s="4">
        <f>Q7*0.2691</f>
        <v>25842.932388000001</v>
      </c>
      <c r="R4" s="4">
        <f>R7*0.2636</f>
        <v>24868.541710399997</v>
      </c>
      <c r="S4" s="4">
        <f>S7*0.2579</f>
        <v>25742.812552800002</v>
      </c>
      <c r="W4" s="4">
        <f t="shared" ref="W4:W6" si="1">SUM(D4:G4)</f>
        <v>76132</v>
      </c>
      <c r="X4" s="4">
        <f t="shared" ref="X4:X6" si="2">SUM(H4:K4)</f>
        <v>85330</v>
      </c>
      <c r="Y4" s="4">
        <f t="shared" ref="Y4:Y6" si="3">SUM(L4:O4)</f>
        <v>99192</v>
      </c>
      <c r="Z4" s="4">
        <f t="shared" ref="Z4:Z15" si="4">SUM(P4:S4)</f>
        <v>106845.2866512</v>
      </c>
      <c r="AA4" s="4">
        <f t="shared" ref="AA4:AJ4" si="5">AA7*0.2579</f>
        <v>105460.75944763202</v>
      </c>
      <c r="AB4" s="4">
        <f t="shared" si="5"/>
        <v>110839.25817946125</v>
      </c>
      <c r="AC4" s="4">
        <f t="shared" si="5"/>
        <v>116492.06034661377</v>
      </c>
      <c r="AD4" s="4">
        <f t="shared" si="5"/>
        <v>122433.15542429106</v>
      </c>
      <c r="AE4" s="4">
        <f t="shared" si="5"/>
        <v>128677.2463509299</v>
      </c>
      <c r="AF4" s="4">
        <f t="shared" si="5"/>
        <v>135239.78591482731</v>
      </c>
      <c r="AG4" s="4">
        <f t="shared" si="5"/>
        <v>142137.01499648351</v>
      </c>
      <c r="AH4" s="4">
        <f t="shared" si="5"/>
        <v>149386.00276130417</v>
      </c>
      <c r="AI4" s="4">
        <f t="shared" si="5"/>
        <v>157004.68890213067</v>
      </c>
      <c r="AJ4" s="4">
        <f t="shared" si="5"/>
        <v>160929.80612468394</v>
      </c>
    </row>
    <row r="5" spans="1:44" s="4" customFormat="1">
      <c r="A5" s="11" t="s">
        <v>67</v>
      </c>
      <c r="C5" s="4">
        <v>2099</v>
      </c>
      <c r="D5" s="4">
        <v>2453</v>
      </c>
      <c r="E5" s="4">
        <v>2819</v>
      </c>
      <c r="F5" s="4">
        <v>2711</v>
      </c>
      <c r="G5" s="4">
        <v>3059</v>
      </c>
      <c r="H5" s="4">
        <v>2505</v>
      </c>
      <c r="I5" s="4">
        <v>2436</v>
      </c>
      <c r="J5" s="4">
        <v>2312</v>
      </c>
      <c r="K5" s="4">
        <v>2430</v>
      </c>
      <c r="L5" s="4">
        <v>2445</v>
      </c>
      <c r="M5" s="4">
        <v>3000</v>
      </c>
      <c r="N5" s="4">
        <v>3532</v>
      </c>
      <c r="O5" s="4">
        <v>3316</v>
      </c>
      <c r="P5" s="4">
        <v>3868</v>
      </c>
      <c r="Q5" s="4">
        <f>Q7*0.0361</f>
        <v>3466.8519480000004</v>
      </c>
      <c r="R5" s="4">
        <f>R7*0.0349</f>
        <v>3292.5345435999998</v>
      </c>
      <c r="S5" s="4">
        <f>S7*0.0336</f>
        <v>3353.8522751999999</v>
      </c>
      <c r="W5" s="4">
        <f t="shared" si="1"/>
        <v>11042</v>
      </c>
      <c r="X5" s="4">
        <f t="shared" si="2"/>
        <v>9683</v>
      </c>
      <c r="Y5" s="4">
        <f t="shared" si="3"/>
        <v>12293</v>
      </c>
      <c r="Z5" s="4">
        <f t="shared" si="4"/>
        <v>13981.238766800001</v>
      </c>
      <c r="AA5" s="4">
        <f t="shared" ref="AA5:AJ5" si="6">AA7*0.0336</f>
        <v>13739.749970688001</v>
      </c>
      <c r="AB5" s="4">
        <f t="shared" si="6"/>
        <v>14440.477219193088</v>
      </c>
      <c r="AC5" s="4">
        <f t="shared" si="6"/>
        <v>15176.941557371936</v>
      </c>
      <c r="AD5" s="4">
        <f t="shared" si="6"/>
        <v>15950.965576797904</v>
      </c>
      <c r="AE5" s="4">
        <f t="shared" si="6"/>
        <v>16764.464821214595</v>
      </c>
      <c r="AF5" s="4">
        <f t="shared" si="6"/>
        <v>17619.452527096539</v>
      </c>
      <c r="AG5" s="4">
        <f t="shared" si="6"/>
        <v>18518.044605978463</v>
      </c>
      <c r="AH5" s="4">
        <f t="shared" si="6"/>
        <v>19462.464880883363</v>
      </c>
      <c r="AI5" s="4">
        <f t="shared" si="6"/>
        <v>20455.050589808416</v>
      </c>
      <c r="AJ5" s="4">
        <f t="shared" si="6"/>
        <v>20966.426854553622</v>
      </c>
    </row>
    <row r="6" spans="1:44" s="4" customFormat="1">
      <c r="A6" s="11" t="s">
        <v>68</v>
      </c>
      <c r="C6" s="4">
        <v>248</v>
      </c>
      <c r="D6" s="4">
        <v>297</v>
      </c>
      <c r="E6" s="4">
        <v>289</v>
      </c>
      <c r="F6" s="4">
        <v>246</v>
      </c>
      <c r="G6" s="4">
        <v>367</v>
      </c>
      <c r="H6" s="4">
        <v>168</v>
      </c>
      <c r="I6" s="4">
        <v>146</v>
      </c>
      <c r="J6" s="4">
        <v>201</v>
      </c>
      <c r="K6" s="4">
        <v>323</v>
      </c>
      <c r="L6" s="4">
        <v>334</v>
      </c>
      <c r="M6" s="4">
        <v>274</v>
      </c>
      <c r="N6" s="4">
        <v>277</v>
      </c>
      <c r="O6" s="4">
        <v>268</v>
      </c>
      <c r="P6" s="4">
        <v>454</v>
      </c>
      <c r="Q6" s="4">
        <f>Q7*0.003</f>
        <v>288.10404000000005</v>
      </c>
      <c r="R6" s="4">
        <f>R7*0.003</f>
        <v>283.025892</v>
      </c>
      <c r="S6" s="4">
        <f>S7*0.0038</f>
        <v>379.30472160000005</v>
      </c>
      <c r="W6" s="4">
        <f t="shared" si="1"/>
        <v>1199</v>
      </c>
      <c r="X6" s="4">
        <f t="shared" si="2"/>
        <v>838</v>
      </c>
      <c r="Y6" s="4">
        <f t="shared" si="3"/>
        <v>1153</v>
      </c>
      <c r="Z6" s="4">
        <f t="shared" si="4"/>
        <v>1404.4346536</v>
      </c>
      <c r="AA6" s="4">
        <f t="shared" ref="AA6:AJ6" si="7">AA7*0.0038</f>
        <v>1553.9002943040002</v>
      </c>
      <c r="AB6" s="4">
        <f t="shared" si="7"/>
        <v>1633.1492093135041</v>
      </c>
      <c r="AC6" s="4">
        <f t="shared" si="7"/>
        <v>1716.4398189884928</v>
      </c>
      <c r="AD6" s="4">
        <f t="shared" si="7"/>
        <v>1803.9782497569058</v>
      </c>
      <c r="AE6" s="4">
        <f t="shared" si="7"/>
        <v>1895.9811404945078</v>
      </c>
      <c r="AF6" s="4">
        <f t="shared" si="7"/>
        <v>1992.6761786597278</v>
      </c>
      <c r="AG6" s="4">
        <f t="shared" si="7"/>
        <v>2094.3026637713738</v>
      </c>
      <c r="AH6" s="4">
        <f t="shared" si="7"/>
        <v>2201.1120996237137</v>
      </c>
      <c r="AI6" s="4">
        <f t="shared" si="7"/>
        <v>2313.3688167045234</v>
      </c>
      <c r="AJ6" s="4">
        <f t="shared" si="7"/>
        <v>2371.2030371221363</v>
      </c>
    </row>
    <row r="7" spans="1:44" s="6" customFormat="1">
      <c r="A7" s="12" t="s">
        <v>69</v>
      </c>
      <c r="C7" s="6">
        <f t="shared" ref="C7" si="8">SUM(C3:C6)</f>
        <v>69554</v>
      </c>
      <c r="D7" s="6">
        <f t="shared" ref="D7:E7" si="9">SUM(D3:D6)</f>
        <v>69097</v>
      </c>
      <c r="E7" s="6">
        <f t="shared" si="9"/>
        <v>72616</v>
      </c>
      <c r="F7" s="6">
        <f t="shared" ref="F7:G7" si="10">SUM(F3:F6)</f>
        <v>73794</v>
      </c>
      <c r="G7" s="6">
        <f t="shared" si="10"/>
        <v>76604</v>
      </c>
      <c r="H7" s="6">
        <f t="shared" ref="H7:P7" si="11">SUM(H3:H6)</f>
        <v>76826</v>
      </c>
      <c r="I7" s="6">
        <f t="shared" si="11"/>
        <v>80636</v>
      </c>
      <c r="J7" s="6">
        <f t="shared" si="11"/>
        <v>81159</v>
      </c>
      <c r="K7" s="6">
        <f t="shared" si="11"/>
        <v>83846</v>
      </c>
      <c r="L7" s="6">
        <f t="shared" si="11"/>
        <v>85278</v>
      </c>
      <c r="M7" s="6">
        <f t="shared" si="11"/>
        <v>88921</v>
      </c>
      <c r="N7" s="6">
        <f t="shared" si="11"/>
        <v>89764</v>
      </c>
      <c r="O7" s="6">
        <f t="shared" si="11"/>
        <v>93813</v>
      </c>
      <c r="P7" s="6">
        <f t="shared" si="11"/>
        <v>88437</v>
      </c>
      <c r="Q7" s="6">
        <f>M7*1.08</f>
        <v>96034.680000000008</v>
      </c>
      <c r="R7" s="6">
        <f>N7*1.051</f>
        <v>94341.963999999993</v>
      </c>
      <c r="S7" s="6">
        <f>O7*1.064</f>
        <v>99817.032000000007</v>
      </c>
      <c r="W7" s="6">
        <f>SUM(D7:G7)</f>
        <v>292111</v>
      </c>
      <c r="X7" s="6">
        <f>SUM(H7:K7)</f>
        <v>322467</v>
      </c>
      <c r="Y7" s="6">
        <f>SUM(L7:O7)</f>
        <v>357776</v>
      </c>
      <c r="Z7" s="6">
        <f>SUM(P7:S7)</f>
        <v>378630.67599999998</v>
      </c>
      <c r="AA7" s="6">
        <f>Z7*1.08</f>
        <v>408921.13008000003</v>
      </c>
      <c r="AB7" s="6">
        <f>AA7*1.051</f>
        <v>429776.10771408002</v>
      </c>
      <c r="AC7" s="6">
        <f t="shared" ref="AC7:AI7" si="12">AB7*1.051</f>
        <v>451694.6892074981</v>
      </c>
      <c r="AD7" s="6">
        <f t="shared" si="12"/>
        <v>474731.1183570805</v>
      </c>
      <c r="AE7" s="6">
        <f t="shared" si="12"/>
        <v>498942.40539329156</v>
      </c>
      <c r="AF7" s="6">
        <f t="shared" si="12"/>
        <v>524388.46806834941</v>
      </c>
      <c r="AG7" s="6">
        <f t="shared" si="12"/>
        <v>551132.27993983519</v>
      </c>
      <c r="AH7" s="6">
        <f t="shared" si="12"/>
        <v>579240.0262167668</v>
      </c>
      <c r="AI7" s="6">
        <f t="shared" si="12"/>
        <v>608781.2675538219</v>
      </c>
      <c r="AJ7" s="6">
        <f>AI7*1.025</f>
        <v>624000.79924266739</v>
      </c>
    </row>
    <row r="8" spans="1:44" s="4" customFormat="1">
      <c r="A8" s="11" t="s">
        <v>70</v>
      </c>
      <c r="C8" s="4">
        <v>42452</v>
      </c>
      <c r="D8" s="4">
        <v>40894</v>
      </c>
      <c r="E8" s="4">
        <v>43520</v>
      </c>
      <c r="F8" s="4">
        <v>45011</v>
      </c>
      <c r="G8" s="4">
        <v>46378</v>
      </c>
      <c r="H8" s="4">
        <v>45509</v>
      </c>
      <c r="I8" s="4">
        <v>49290</v>
      </c>
      <c r="J8" s="4">
        <v>50365</v>
      </c>
      <c r="K8" s="4">
        <v>51728</v>
      </c>
      <c r="L8" s="4">
        <v>51455</v>
      </c>
      <c r="M8" s="4">
        <v>53536</v>
      </c>
      <c r="N8" s="4">
        <v>54688</v>
      </c>
      <c r="O8" s="4">
        <v>57419</v>
      </c>
      <c r="P8" s="4">
        <v>48073</v>
      </c>
      <c r="Q8" s="4">
        <f>Q7*0.5941</f>
        <v>57054.203388000002</v>
      </c>
      <c r="R8" s="4">
        <f t="shared" ref="R8:S8" si="13">R7*0.5941</f>
        <v>56048.560812399992</v>
      </c>
      <c r="S8" s="4">
        <f t="shared" si="13"/>
        <v>59301.298711199997</v>
      </c>
      <c r="W8" s="4">
        <f t="shared" ref="W8:W26" si="14">SUM(D8:G8)</f>
        <v>175803</v>
      </c>
      <c r="X8" s="4">
        <f t="shared" ref="X8:X15" si="15">SUM(H8:K8)</f>
        <v>196892</v>
      </c>
      <c r="Y8" s="4">
        <f t="shared" ref="Y8:Y15" si="16">SUM(L8:O8)</f>
        <v>217098</v>
      </c>
      <c r="Z8" s="4">
        <f t="shared" si="4"/>
        <v>220477.06291159999</v>
      </c>
      <c r="AA8" s="4">
        <f t="shared" ref="AA8" si="17">AA7*0.5941</f>
        <v>242940.04338052799</v>
      </c>
      <c r="AB8" s="4">
        <f t="shared" ref="AB8" si="18">AB7*0.5941</f>
        <v>255329.98559293491</v>
      </c>
      <c r="AC8" s="4">
        <f t="shared" ref="AC8" si="19">AC7*0.5941</f>
        <v>268351.81485817459</v>
      </c>
      <c r="AD8" s="4">
        <f t="shared" ref="AD8" si="20">AD7*0.5941</f>
        <v>282037.75741594151</v>
      </c>
      <c r="AE8" s="4">
        <f t="shared" ref="AE8" si="21">AE7*0.5941</f>
        <v>296421.68304415449</v>
      </c>
      <c r="AF8" s="4">
        <f t="shared" ref="AF8" si="22">AF7*0.5941</f>
        <v>311539.18887940637</v>
      </c>
      <c r="AG8" s="4">
        <f t="shared" ref="AG8" si="23">AG7*0.5941</f>
        <v>327427.68751225609</v>
      </c>
      <c r="AH8" s="4">
        <f t="shared" ref="AH8" si="24">AH7*0.5941</f>
        <v>344126.49957538111</v>
      </c>
      <c r="AI8" s="4">
        <f t="shared" ref="AI8" si="25">AI7*0.5941</f>
        <v>361676.95105372556</v>
      </c>
      <c r="AJ8" s="4">
        <f t="shared" ref="AJ8" si="26">AJ7*0.5941</f>
        <v>370718.87483006867</v>
      </c>
    </row>
    <row r="9" spans="1:44" s="4" customFormat="1">
      <c r="A9" s="11" t="s">
        <v>71</v>
      </c>
      <c r="C9" s="4">
        <v>15145</v>
      </c>
      <c r="D9" s="4">
        <v>15704</v>
      </c>
      <c r="E9" s="4">
        <v>15901</v>
      </c>
      <c r="F9" s="4">
        <v>16081</v>
      </c>
      <c r="G9" s="4">
        <v>16574</v>
      </c>
      <c r="H9" s="4">
        <v>17923</v>
      </c>
      <c r="I9" s="4">
        <v>17490</v>
      </c>
      <c r="J9" s="4">
        <v>17401</v>
      </c>
      <c r="K9" s="4">
        <v>18259</v>
      </c>
      <c r="L9" s="4">
        <v>20448</v>
      </c>
      <c r="M9" s="4">
        <v>21782</v>
      </c>
      <c r="N9" s="4">
        <v>21499</v>
      </c>
      <c r="O9" s="4">
        <v>22518</v>
      </c>
      <c r="P9" s="4">
        <v>27803</v>
      </c>
      <c r="Q9" s="4">
        <f>Q7*0.2557</f>
        <v>24556.067675999999</v>
      </c>
      <c r="R9" s="4">
        <f t="shared" ref="R9:S9" si="27">R7*0.2557</f>
        <v>24123.240194799997</v>
      </c>
      <c r="S9" s="4">
        <f t="shared" si="27"/>
        <v>25523.215082399998</v>
      </c>
      <c r="W9" s="4">
        <f t="shared" si="14"/>
        <v>64260</v>
      </c>
      <c r="X9" s="4">
        <f t="shared" si="15"/>
        <v>71073</v>
      </c>
      <c r="Y9" s="4">
        <f t="shared" si="16"/>
        <v>86247</v>
      </c>
      <c r="Z9" s="4">
        <f t="shared" si="4"/>
        <v>102005.52295319999</v>
      </c>
      <c r="AA9" s="4">
        <f t="shared" ref="AA9:AJ9" si="28">AA7*0.2557</f>
        <v>104561.13296145599</v>
      </c>
      <c r="AB9" s="4">
        <f t="shared" si="28"/>
        <v>109893.75074249026</v>
      </c>
      <c r="AC9" s="4">
        <f t="shared" si="28"/>
        <v>115498.33203035725</v>
      </c>
      <c r="AD9" s="4">
        <f t="shared" si="28"/>
        <v>121388.74696390548</v>
      </c>
      <c r="AE9" s="4">
        <f t="shared" si="28"/>
        <v>127579.57305906464</v>
      </c>
      <c r="AF9" s="4">
        <f t="shared" si="28"/>
        <v>134086.13128507693</v>
      </c>
      <c r="AG9" s="4">
        <f t="shared" si="28"/>
        <v>140924.52398061584</v>
      </c>
      <c r="AH9" s="4">
        <f t="shared" si="28"/>
        <v>148111.67470362727</v>
      </c>
      <c r="AI9" s="4">
        <f t="shared" si="28"/>
        <v>155665.37011351224</v>
      </c>
      <c r="AJ9" s="4">
        <f t="shared" si="28"/>
        <v>159557.00436635004</v>
      </c>
    </row>
    <row r="10" spans="1:44" s="4" customFormat="1">
      <c r="A10" s="11" t="s">
        <v>94</v>
      </c>
      <c r="C10" s="4">
        <v>0</v>
      </c>
      <c r="D10" s="4">
        <v>0</v>
      </c>
      <c r="E10" s="4">
        <v>0</v>
      </c>
      <c r="F10" s="4">
        <v>0</v>
      </c>
      <c r="G10" s="4">
        <v>1358</v>
      </c>
      <c r="W10" s="4">
        <f t="shared" si="14"/>
        <v>1358</v>
      </c>
      <c r="X10" s="4">
        <v>0</v>
      </c>
      <c r="Y10" s="4">
        <v>0</v>
      </c>
      <c r="Z10" s="4">
        <f t="shared" si="4"/>
        <v>0</v>
      </c>
    </row>
    <row r="11" spans="1:44" s="4" customFormat="1">
      <c r="A11" s="11" t="s">
        <v>92</v>
      </c>
      <c r="C11" s="4">
        <v>0</v>
      </c>
      <c r="D11" s="4">
        <v>0</v>
      </c>
      <c r="E11" s="4">
        <v>0</v>
      </c>
      <c r="F11" s="4">
        <v>431</v>
      </c>
      <c r="G11" s="4">
        <v>0</v>
      </c>
      <c r="W11" s="4">
        <f t="shared" si="14"/>
        <v>431</v>
      </c>
      <c r="X11" s="4">
        <v>0</v>
      </c>
      <c r="Y11" s="4">
        <v>0</v>
      </c>
      <c r="Z11" s="4">
        <f t="shared" si="4"/>
        <v>0</v>
      </c>
    </row>
    <row r="12" spans="1:44" s="4" customFormat="1">
      <c r="A12" s="11" t="s">
        <v>83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M12" s="4">
        <v>496</v>
      </c>
      <c r="N12" s="4">
        <v>11</v>
      </c>
      <c r="W12" s="4">
        <f t="shared" si="14"/>
        <v>0</v>
      </c>
      <c r="X12" s="4">
        <f t="shared" si="15"/>
        <v>0</v>
      </c>
      <c r="Y12" s="4">
        <f t="shared" si="16"/>
        <v>507</v>
      </c>
      <c r="Z12" s="4">
        <f t="shared" si="4"/>
        <v>0</v>
      </c>
    </row>
    <row r="13" spans="1:44" s="4" customFormat="1">
      <c r="A13" s="11" t="s">
        <v>84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484</v>
      </c>
      <c r="I13" s="4">
        <v>0</v>
      </c>
      <c r="J13" s="4">
        <v>5220</v>
      </c>
      <c r="K13" s="4">
        <v>99</v>
      </c>
      <c r="M13" s="4">
        <v>0</v>
      </c>
      <c r="N13" s="4">
        <v>0</v>
      </c>
      <c r="W13" s="4">
        <f t="shared" si="14"/>
        <v>0</v>
      </c>
      <c r="X13" s="4">
        <f t="shared" si="15"/>
        <v>5803</v>
      </c>
      <c r="Y13" s="4">
        <f t="shared" si="16"/>
        <v>0</v>
      </c>
      <c r="Z13" s="4">
        <f t="shared" si="4"/>
        <v>0</v>
      </c>
    </row>
    <row r="14" spans="1:44" s="4" customFormat="1">
      <c r="A14" s="11" t="s">
        <v>72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41</v>
      </c>
      <c r="I14" s="4">
        <v>0</v>
      </c>
      <c r="J14" s="4">
        <v>2480</v>
      </c>
      <c r="K14" s="4">
        <v>12</v>
      </c>
      <c r="L14" s="4">
        <v>349</v>
      </c>
      <c r="M14" s="4">
        <v>0</v>
      </c>
      <c r="N14" s="4">
        <v>0</v>
      </c>
      <c r="O14" s="4">
        <v>0</v>
      </c>
      <c r="P14" s="4">
        <v>0</v>
      </c>
      <c r="W14" s="4">
        <f t="shared" si="14"/>
        <v>0</v>
      </c>
      <c r="X14" s="4">
        <f t="shared" si="15"/>
        <v>2533</v>
      </c>
      <c r="Y14" s="4">
        <f t="shared" si="16"/>
        <v>349</v>
      </c>
      <c r="Z14" s="4">
        <f t="shared" si="4"/>
        <v>0</v>
      </c>
    </row>
    <row r="15" spans="1:44" s="4" customFormat="1">
      <c r="A15" s="11" t="s">
        <v>73</v>
      </c>
      <c r="C15" s="4">
        <v>9433</v>
      </c>
      <c r="D15" s="4">
        <v>8922</v>
      </c>
      <c r="E15" s="4">
        <v>8869</v>
      </c>
      <c r="F15" s="4">
        <v>9210</v>
      </c>
      <c r="G15" s="4">
        <v>10065</v>
      </c>
      <c r="H15" s="4">
        <v>9324</v>
      </c>
      <c r="I15" s="4">
        <v>9187</v>
      </c>
      <c r="J15" s="4">
        <v>9612</v>
      </c>
      <c r="K15" s="4">
        <v>10089</v>
      </c>
      <c r="L15" s="4">
        <v>9580</v>
      </c>
      <c r="M15" s="4">
        <v>9873</v>
      </c>
      <c r="N15" s="4">
        <v>9876</v>
      </c>
      <c r="O15" s="4">
        <v>10503</v>
      </c>
      <c r="P15" s="4">
        <v>10290</v>
      </c>
      <c r="Q15" s="4">
        <f>Q7*0.1123</f>
        <v>10784.694564000001</v>
      </c>
      <c r="R15" s="4">
        <f t="shared" ref="R15:S15" si="29">R7*0.1123</f>
        <v>10594.602557199998</v>
      </c>
      <c r="S15" s="4">
        <f t="shared" si="29"/>
        <v>11209.4526936</v>
      </c>
      <c r="W15" s="4">
        <f t="shared" si="14"/>
        <v>37066</v>
      </c>
      <c r="X15" s="4">
        <f t="shared" si="15"/>
        <v>38212</v>
      </c>
      <c r="Y15" s="4">
        <f t="shared" si="16"/>
        <v>39832</v>
      </c>
      <c r="Z15" s="4">
        <f t="shared" si="4"/>
        <v>42878.749814800001</v>
      </c>
      <c r="AA15" s="4">
        <f t="shared" ref="AA15:AJ15" si="30">AA7*0.1123</f>
        <v>45921.842907983999</v>
      </c>
      <c r="AB15" s="4">
        <f t="shared" si="30"/>
        <v>48263.856896291181</v>
      </c>
      <c r="AC15" s="4">
        <f t="shared" si="30"/>
        <v>50725.313598002038</v>
      </c>
      <c r="AD15" s="4">
        <f t="shared" si="30"/>
        <v>53312.304591500142</v>
      </c>
      <c r="AE15" s="4">
        <f t="shared" si="30"/>
        <v>56031.23212566664</v>
      </c>
      <c r="AF15" s="4">
        <f t="shared" si="30"/>
        <v>58888.82496407564</v>
      </c>
      <c r="AG15" s="4">
        <f t="shared" si="30"/>
        <v>61892.155037243494</v>
      </c>
      <c r="AH15" s="4">
        <f t="shared" si="30"/>
        <v>65048.654944142909</v>
      </c>
      <c r="AI15" s="4">
        <f t="shared" si="30"/>
        <v>68366.136346294195</v>
      </c>
      <c r="AJ15" s="4">
        <f t="shared" si="30"/>
        <v>70075.289754951547</v>
      </c>
    </row>
    <row r="16" spans="1:44" s="6" customFormat="1">
      <c r="A16" s="12" t="s">
        <v>73</v>
      </c>
      <c r="C16" s="6">
        <f t="shared" ref="C16" si="31">SUM(C8:C15)</f>
        <v>67030</v>
      </c>
      <c r="D16" s="6">
        <f t="shared" ref="D16:E16" si="32">SUM(D8:D15)</f>
        <v>65520</v>
      </c>
      <c r="E16" s="6">
        <f t="shared" si="32"/>
        <v>68290</v>
      </c>
      <c r="F16" s="6">
        <f t="shared" ref="F16:G16" si="33">SUM(F8:F15)</f>
        <v>70733</v>
      </c>
      <c r="G16" s="6">
        <f t="shared" si="33"/>
        <v>74375</v>
      </c>
      <c r="H16" s="6">
        <f t="shared" ref="H16:P16" si="34">SUM(H8:H15)</f>
        <v>73281</v>
      </c>
      <c r="I16" s="6">
        <f t="shared" si="34"/>
        <v>75967</v>
      </c>
      <c r="J16" s="6">
        <f t="shared" si="34"/>
        <v>85078</v>
      </c>
      <c r="K16" s="6">
        <f t="shared" si="34"/>
        <v>80187</v>
      </c>
      <c r="L16" s="6">
        <f t="shared" si="34"/>
        <v>81832</v>
      </c>
      <c r="M16" s="6">
        <f t="shared" si="34"/>
        <v>85687</v>
      </c>
      <c r="N16" s="6">
        <f t="shared" si="34"/>
        <v>86074</v>
      </c>
      <c r="O16" s="6">
        <f t="shared" si="34"/>
        <v>90440</v>
      </c>
      <c r="P16" s="6">
        <f t="shared" si="34"/>
        <v>86166</v>
      </c>
      <c r="Q16" s="6">
        <f t="shared" ref="Q16:S16" si="35">SUM(Q8:Q15)</f>
        <v>92394.965628000005</v>
      </c>
      <c r="R16" s="6">
        <f t="shared" si="35"/>
        <v>90766.403564399981</v>
      </c>
      <c r="S16" s="6">
        <f t="shared" si="35"/>
        <v>96033.966487199999</v>
      </c>
      <c r="W16" s="6">
        <f t="shared" si="14"/>
        <v>278918</v>
      </c>
      <c r="X16" s="6">
        <f>SUM(H16:K16)</f>
        <v>314513</v>
      </c>
      <c r="Y16" s="6">
        <f>SUM(L16:O16)</f>
        <v>344033</v>
      </c>
      <c r="Z16" s="6">
        <f>SUM(P16:S16)</f>
        <v>365361.33567960002</v>
      </c>
      <c r="AA16" s="6">
        <f t="shared" ref="AA16:AJ16" si="36">SUM(AA8:AA15)</f>
        <v>393423.01924996794</v>
      </c>
      <c r="AB16" s="6">
        <f t="shared" si="36"/>
        <v>413487.59323171637</v>
      </c>
      <c r="AC16" s="6">
        <f t="shared" si="36"/>
        <v>434575.46048653388</v>
      </c>
      <c r="AD16" s="6">
        <f t="shared" si="36"/>
        <v>456738.80897134711</v>
      </c>
      <c r="AE16" s="6">
        <f t="shared" si="36"/>
        <v>480032.48822888575</v>
      </c>
      <c r="AF16" s="6">
        <f t="shared" si="36"/>
        <v>504514.14512855891</v>
      </c>
      <c r="AG16" s="6">
        <f t="shared" si="36"/>
        <v>530244.36653011537</v>
      </c>
      <c r="AH16" s="6">
        <f t="shared" si="36"/>
        <v>557286.82922315132</v>
      </c>
      <c r="AI16" s="6">
        <f t="shared" si="36"/>
        <v>585708.45751353202</v>
      </c>
      <c r="AJ16" s="6">
        <f t="shared" si="36"/>
        <v>600351.16895137029</v>
      </c>
    </row>
    <row r="17" spans="1:188" s="6" customFormat="1">
      <c r="A17" s="12" t="s">
        <v>74</v>
      </c>
      <c r="C17" s="6">
        <f t="shared" ref="C17" si="37">C7-C16</f>
        <v>2524</v>
      </c>
      <c r="D17" s="6">
        <f t="shared" ref="D17:E17" si="38">D7-D16</f>
        <v>3577</v>
      </c>
      <c r="E17" s="6">
        <f t="shared" si="38"/>
        <v>4326</v>
      </c>
      <c r="F17" s="6">
        <f t="shared" ref="F17:G17" si="39">F7-F16</f>
        <v>3061</v>
      </c>
      <c r="G17" s="6">
        <f t="shared" si="39"/>
        <v>2229</v>
      </c>
      <c r="H17" s="6">
        <f t="shared" ref="H17:P17" si="40">H7-H16</f>
        <v>3545</v>
      </c>
      <c r="I17" s="6">
        <f t="shared" si="40"/>
        <v>4669</v>
      </c>
      <c r="J17" s="6">
        <f t="shared" si="40"/>
        <v>-3919</v>
      </c>
      <c r="K17" s="6">
        <f t="shared" si="40"/>
        <v>3659</v>
      </c>
      <c r="L17" s="6">
        <f t="shared" si="40"/>
        <v>3446</v>
      </c>
      <c r="M17" s="6">
        <f t="shared" si="40"/>
        <v>3234</v>
      </c>
      <c r="N17" s="6">
        <f t="shared" si="40"/>
        <v>3690</v>
      </c>
      <c r="O17" s="6">
        <f t="shared" si="40"/>
        <v>3373</v>
      </c>
      <c r="P17" s="6">
        <f t="shared" si="40"/>
        <v>2271</v>
      </c>
      <c r="Q17" s="6">
        <f t="shared" ref="Q17:S17" si="41">Q7-Q16</f>
        <v>3639.7143720000022</v>
      </c>
      <c r="R17" s="6">
        <f t="shared" si="41"/>
        <v>3575.5604356000113</v>
      </c>
      <c r="S17" s="6">
        <f t="shared" si="41"/>
        <v>3783.0655128000071</v>
      </c>
      <c r="W17" s="6">
        <f t="shared" si="14"/>
        <v>13193</v>
      </c>
      <c r="X17" s="6">
        <f>SUM(H17:K17)</f>
        <v>7954</v>
      </c>
      <c r="Y17" s="6">
        <f>SUM(L17:O17)</f>
        <v>13743</v>
      </c>
      <c r="Z17" s="6">
        <f>SUM(P17:S17)</f>
        <v>13269.340320400021</v>
      </c>
      <c r="AA17" s="6">
        <f t="shared" ref="AA17:AJ17" si="42">AA7-AA16</f>
        <v>15498.110830032092</v>
      </c>
      <c r="AB17" s="6">
        <f t="shared" si="42"/>
        <v>16288.514482363651</v>
      </c>
      <c r="AC17" s="6">
        <f t="shared" si="42"/>
        <v>17119.228720964224</v>
      </c>
      <c r="AD17" s="6">
        <f t="shared" si="42"/>
        <v>17992.309385733388</v>
      </c>
      <c r="AE17" s="6">
        <f t="shared" si="42"/>
        <v>18909.917164405808</v>
      </c>
      <c r="AF17" s="6">
        <f t="shared" si="42"/>
        <v>19874.322939790494</v>
      </c>
      <c r="AG17" s="6">
        <f t="shared" si="42"/>
        <v>20887.913409719826</v>
      </c>
      <c r="AH17" s="6">
        <f t="shared" si="42"/>
        <v>21953.196993615478</v>
      </c>
      <c r="AI17" s="6">
        <f t="shared" si="42"/>
        <v>23072.810040289885</v>
      </c>
      <c r="AJ17" s="6">
        <f t="shared" si="42"/>
        <v>23649.6302912971</v>
      </c>
    </row>
    <row r="18" spans="1:188" s="4" customFormat="1">
      <c r="A18" s="11" t="s">
        <v>75</v>
      </c>
      <c r="C18" s="4">
        <v>678</v>
      </c>
      <c r="D18" s="4">
        <v>657</v>
      </c>
      <c r="E18" s="4">
        <v>636</v>
      </c>
      <c r="F18" s="4">
        <v>602</v>
      </c>
      <c r="G18" s="4">
        <v>608</v>
      </c>
      <c r="H18" s="4">
        <v>586</v>
      </c>
      <c r="I18" s="4">
        <v>583</v>
      </c>
      <c r="J18" s="4">
        <v>566</v>
      </c>
      <c r="K18" s="4">
        <v>552</v>
      </c>
      <c r="L18" s="4">
        <v>589</v>
      </c>
      <c r="M18" s="4">
        <v>686</v>
      </c>
      <c r="N18" s="4">
        <v>693</v>
      </c>
      <c r="O18" s="4">
        <v>690</v>
      </c>
      <c r="P18" s="4">
        <v>716</v>
      </c>
      <c r="Q18" s="4">
        <f>Q7*0.00788</f>
        <v>756.7532784</v>
      </c>
      <c r="R18" s="4">
        <f t="shared" ref="R18:S18" si="43">R7*0.00788</f>
        <v>743.4146763199999</v>
      </c>
      <c r="S18" s="4">
        <f t="shared" si="43"/>
        <v>786.55821216000004</v>
      </c>
      <c r="W18" s="4">
        <f t="shared" si="14"/>
        <v>2503</v>
      </c>
      <c r="X18" s="4">
        <f t="shared" ref="X18:X20" si="44">SUM(H18:K18)</f>
        <v>2287</v>
      </c>
      <c r="Y18" s="4">
        <f t="shared" ref="Y18:Y20" si="45">SUM(L18:O18)</f>
        <v>2658</v>
      </c>
      <c r="Z18" s="4">
        <f t="shared" ref="Z18:Z20" si="46">SUM(P18:S18)</f>
        <v>3002.7261668800002</v>
      </c>
      <c r="AA18" s="4">
        <f t="shared" ref="AA18:AJ18" si="47">AA7*0.00788</f>
        <v>3222.2985050304001</v>
      </c>
      <c r="AB18" s="4">
        <f t="shared" si="47"/>
        <v>3386.6357287869505</v>
      </c>
      <c r="AC18" s="4">
        <f t="shared" si="47"/>
        <v>3559.3541509550851</v>
      </c>
      <c r="AD18" s="4">
        <f t="shared" si="47"/>
        <v>3740.8812126537941</v>
      </c>
      <c r="AE18" s="4">
        <f t="shared" si="47"/>
        <v>3931.6661544991375</v>
      </c>
      <c r="AF18" s="4">
        <f t="shared" si="47"/>
        <v>4132.1811283785937</v>
      </c>
      <c r="AG18" s="4">
        <f t="shared" si="47"/>
        <v>4342.9223659259014</v>
      </c>
      <c r="AH18" s="4">
        <f t="shared" si="47"/>
        <v>4564.4114065881222</v>
      </c>
      <c r="AI18" s="4">
        <f t="shared" si="47"/>
        <v>4797.1963883241169</v>
      </c>
      <c r="AJ18" s="4">
        <f t="shared" si="47"/>
        <v>4917.126298032219</v>
      </c>
    </row>
    <row r="19" spans="1:188" s="4" customFormat="1">
      <c r="A19" s="11" t="s">
        <v>93</v>
      </c>
      <c r="C19" s="4">
        <v>674</v>
      </c>
      <c r="D19" s="4">
        <v>0</v>
      </c>
      <c r="E19" s="4">
        <v>0</v>
      </c>
      <c r="F19" s="4">
        <v>363</v>
      </c>
      <c r="G19" s="4">
        <v>89</v>
      </c>
      <c r="W19" s="4">
        <f t="shared" si="14"/>
        <v>452</v>
      </c>
      <c r="X19" s="4">
        <v>0</v>
      </c>
      <c r="Y19" s="4">
        <v>0</v>
      </c>
      <c r="Z19" s="4">
        <f t="shared" si="46"/>
        <v>0</v>
      </c>
    </row>
    <row r="20" spans="1:188" s="4" customFormat="1">
      <c r="A20" s="11" t="s">
        <v>76</v>
      </c>
      <c r="C20" s="4">
        <v>53</v>
      </c>
      <c r="D20" s="4">
        <v>50</v>
      </c>
      <c r="E20" s="4">
        <v>45</v>
      </c>
      <c r="F20" s="4">
        <v>49</v>
      </c>
      <c r="G20" s="4">
        <v>38</v>
      </c>
      <c r="H20" s="4">
        <v>42</v>
      </c>
      <c r="I20" s="4">
        <v>43</v>
      </c>
      <c r="J20" s="4">
        <v>41</v>
      </c>
      <c r="K20" s="4">
        <v>43</v>
      </c>
      <c r="L20" s="4">
        <v>22</v>
      </c>
      <c r="M20" s="4">
        <v>22</v>
      </c>
      <c r="N20" s="4">
        <v>22</v>
      </c>
      <c r="O20" s="4">
        <v>22</v>
      </c>
      <c r="P20" s="4">
        <v>25</v>
      </c>
      <c r="Q20" s="4">
        <f>Q7*0.00025</f>
        <v>24.008670000000002</v>
      </c>
      <c r="R20" s="4">
        <f t="shared" ref="R20:S20" si="48">R7*0.00025</f>
        <v>23.585490999999998</v>
      </c>
      <c r="S20" s="4">
        <f t="shared" si="48"/>
        <v>24.954258000000003</v>
      </c>
      <c r="W20" s="4">
        <f t="shared" si="14"/>
        <v>182</v>
      </c>
      <c r="X20" s="4">
        <f t="shared" si="44"/>
        <v>169</v>
      </c>
      <c r="Y20" s="4">
        <f t="shared" si="45"/>
        <v>88</v>
      </c>
      <c r="Z20" s="4">
        <f t="shared" si="46"/>
        <v>97.548418999999996</v>
      </c>
      <c r="AA20" s="4">
        <f t="shared" ref="AA20:AJ20" si="49">AA7*0.00025</f>
        <v>102.23028252000002</v>
      </c>
      <c r="AB20" s="4">
        <f t="shared" si="49"/>
        <v>107.44402692852</v>
      </c>
      <c r="AC20" s="4">
        <f t="shared" si="49"/>
        <v>112.92367230187453</v>
      </c>
      <c r="AD20" s="4">
        <f t="shared" si="49"/>
        <v>118.68277958927013</v>
      </c>
      <c r="AE20" s="4">
        <f t="shared" si="49"/>
        <v>124.73560134832289</v>
      </c>
      <c r="AF20" s="4">
        <f t="shared" si="49"/>
        <v>131.09711701708736</v>
      </c>
      <c r="AG20" s="4">
        <f t="shared" si="49"/>
        <v>137.78306998495881</v>
      </c>
      <c r="AH20" s="4">
        <f t="shared" si="49"/>
        <v>144.81000655419172</v>
      </c>
      <c r="AI20" s="4">
        <f t="shared" si="49"/>
        <v>152.19531688845547</v>
      </c>
      <c r="AJ20" s="4">
        <f t="shared" si="49"/>
        <v>156.00019981066686</v>
      </c>
    </row>
    <row r="21" spans="1:188" s="6" customFormat="1">
      <c r="A21" s="12" t="s">
        <v>77</v>
      </c>
      <c r="C21" s="6">
        <f>C17-C18+C20-C19</f>
        <v>1225</v>
      </c>
      <c r="D21" s="6">
        <f t="shared" ref="D21:E21" si="50">D17-D18+D20</f>
        <v>2970</v>
      </c>
      <c r="E21" s="6">
        <f t="shared" si="50"/>
        <v>3735</v>
      </c>
      <c r="F21" s="6">
        <f>F17-F18+F20-F19</f>
        <v>2145</v>
      </c>
      <c r="G21" s="6">
        <f>G17-G18+G20-G19</f>
        <v>1570</v>
      </c>
      <c r="H21" s="6">
        <f t="shared" ref="H21:S21" si="51">H17-H18+H20</f>
        <v>3001</v>
      </c>
      <c r="I21" s="6">
        <f t="shared" si="51"/>
        <v>4129</v>
      </c>
      <c r="J21" s="6">
        <f t="shared" si="51"/>
        <v>-4444</v>
      </c>
      <c r="K21" s="6">
        <f t="shared" si="51"/>
        <v>3150</v>
      </c>
      <c r="L21" s="6">
        <f t="shared" si="51"/>
        <v>2879</v>
      </c>
      <c r="M21" s="6">
        <f t="shared" si="51"/>
        <v>2570</v>
      </c>
      <c r="N21" s="6">
        <f t="shared" si="51"/>
        <v>3019</v>
      </c>
      <c r="O21" s="6">
        <f t="shared" si="51"/>
        <v>2705</v>
      </c>
      <c r="P21" s="6">
        <f t="shared" si="51"/>
        <v>1580</v>
      </c>
      <c r="Q21" s="6">
        <f t="shared" si="51"/>
        <v>2906.9697636000024</v>
      </c>
      <c r="R21" s="6">
        <f t="shared" si="51"/>
        <v>2855.7312502800114</v>
      </c>
      <c r="S21" s="6">
        <f t="shared" si="51"/>
        <v>3021.4615586400073</v>
      </c>
      <c r="W21" s="6">
        <f t="shared" si="14"/>
        <v>10420</v>
      </c>
      <c r="X21" s="6">
        <f>SUM(H21:K21)</f>
        <v>5836</v>
      </c>
      <c r="Y21" s="6">
        <f>SUM(L21:O21)</f>
        <v>11173</v>
      </c>
      <c r="Z21" s="6">
        <f>SUM(P21:S21)</f>
        <v>10364.162572520021</v>
      </c>
      <c r="AA21" s="6">
        <f t="shared" ref="AA21:AJ21" si="52">AA17-AA18+AA20</f>
        <v>12378.042607521693</v>
      </c>
      <c r="AB21" s="6">
        <f t="shared" si="52"/>
        <v>13009.322780505221</v>
      </c>
      <c r="AC21" s="6">
        <f t="shared" si="52"/>
        <v>13672.798242311013</v>
      </c>
      <c r="AD21" s="6">
        <f t="shared" si="52"/>
        <v>14370.110952668863</v>
      </c>
      <c r="AE21" s="6">
        <f t="shared" si="52"/>
        <v>15102.986611254993</v>
      </c>
      <c r="AF21" s="6">
        <f t="shared" si="52"/>
        <v>15873.238928428987</v>
      </c>
      <c r="AG21" s="6">
        <f t="shared" si="52"/>
        <v>16682.774113778883</v>
      </c>
      <c r="AH21" s="6">
        <f t="shared" si="52"/>
        <v>17533.595593581547</v>
      </c>
      <c r="AI21" s="6">
        <f t="shared" si="52"/>
        <v>18427.80896885422</v>
      </c>
      <c r="AJ21" s="6">
        <f t="shared" si="52"/>
        <v>18888.504193075547</v>
      </c>
    </row>
    <row r="22" spans="1:188" s="4" customFormat="1">
      <c r="A22" s="11" t="s">
        <v>78</v>
      </c>
      <c r="C22" s="4">
        <v>241</v>
      </c>
      <c r="D22" s="4">
        <v>746</v>
      </c>
      <c r="E22" s="4">
        <v>944</v>
      </c>
      <c r="F22" s="4">
        <v>558</v>
      </c>
      <c r="G22" s="4">
        <v>274</v>
      </c>
      <c r="H22" s="4">
        <v>646</v>
      </c>
      <c r="I22" s="4">
        <v>1090</v>
      </c>
      <c r="J22" s="4">
        <v>-1045</v>
      </c>
      <c r="K22" s="4">
        <v>818</v>
      </c>
      <c r="L22" s="4">
        <v>737</v>
      </c>
      <c r="M22" s="4">
        <v>656</v>
      </c>
      <c r="N22" s="4">
        <v>754</v>
      </c>
      <c r="O22" s="4">
        <v>658</v>
      </c>
      <c r="P22" s="4">
        <v>456</v>
      </c>
      <c r="Q22" s="4">
        <f>Q21*0.2466</f>
        <v>716.85874370376064</v>
      </c>
      <c r="R22" s="4">
        <f t="shared" ref="R22:S22" si="53">R21*0.2466</f>
        <v>704.2233263190509</v>
      </c>
      <c r="S22" s="4">
        <f t="shared" si="53"/>
        <v>745.09242036062585</v>
      </c>
      <c r="W22" s="4">
        <f t="shared" si="14"/>
        <v>2522</v>
      </c>
      <c r="X22" s="4">
        <f t="shared" ref="X22" si="54">SUM(H22:K22)</f>
        <v>1509</v>
      </c>
      <c r="Y22" s="4">
        <f t="shared" ref="Y22" si="55">SUM(L22:O22)</f>
        <v>2805</v>
      </c>
      <c r="Z22" s="4">
        <f t="shared" ref="Z22" si="56">SUM(P22:S22)</f>
        <v>2622.1744903834374</v>
      </c>
      <c r="AA22" s="4">
        <f t="shared" ref="AA22" si="57">AA21*0.2466</f>
        <v>3052.4253070148497</v>
      </c>
      <c r="AB22" s="4">
        <f t="shared" ref="AB22" si="58">AB21*0.2466</f>
        <v>3208.0989976725878</v>
      </c>
      <c r="AC22" s="4">
        <f t="shared" ref="AC22" si="59">AC21*0.2466</f>
        <v>3371.712046553896</v>
      </c>
      <c r="AD22" s="4">
        <f t="shared" ref="AD22" si="60">AD21*0.2466</f>
        <v>3543.6693609281419</v>
      </c>
      <c r="AE22" s="4">
        <f t="shared" ref="AE22" si="61">AE21*0.2466</f>
        <v>3724.3964983354817</v>
      </c>
      <c r="AF22" s="4">
        <f t="shared" ref="AF22" si="62">AF21*0.2466</f>
        <v>3914.3407197505885</v>
      </c>
      <c r="AG22" s="4">
        <f t="shared" ref="AG22" si="63">AG21*0.2466</f>
        <v>4113.9720964578728</v>
      </c>
      <c r="AH22" s="4">
        <f t="shared" ref="AH22" si="64">AH21*0.2466</f>
        <v>4323.7846733772094</v>
      </c>
      <c r="AI22" s="4">
        <f t="shared" ref="AI22" si="65">AI21*0.2466</f>
        <v>4544.297691719451</v>
      </c>
      <c r="AJ22" s="4">
        <f t="shared" ref="AJ22" si="66">AJ21*0.2466</f>
        <v>4657.9051340124297</v>
      </c>
    </row>
    <row r="23" spans="1:188" s="6" customFormat="1">
      <c r="A23" s="12" t="s">
        <v>79</v>
      </c>
      <c r="C23" s="6">
        <f t="shared" ref="C23" si="67">C21-C22</f>
        <v>984</v>
      </c>
      <c r="D23" s="6">
        <f t="shared" ref="D23:E23" si="68">D21-D22</f>
        <v>2224</v>
      </c>
      <c r="E23" s="6">
        <f t="shared" si="68"/>
        <v>2791</v>
      </c>
      <c r="F23" s="6">
        <f t="shared" ref="F23:G23" si="69">F21-F22</f>
        <v>1587</v>
      </c>
      <c r="G23" s="6">
        <f t="shared" si="69"/>
        <v>1296</v>
      </c>
      <c r="H23" s="6">
        <f t="shared" ref="H23:S23" si="70">H21-H22</f>
        <v>2355</v>
      </c>
      <c r="I23" s="6">
        <f t="shared" si="70"/>
        <v>3039</v>
      </c>
      <c r="J23" s="6">
        <f t="shared" si="70"/>
        <v>-3399</v>
      </c>
      <c r="K23" s="6">
        <f t="shared" si="70"/>
        <v>2332</v>
      </c>
      <c r="L23" s="6">
        <f t="shared" si="70"/>
        <v>2142</v>
      </c>
      <c r="M23" s="6">
        <f t="shared" si="70"/>
        <v>1914</v>
      </c>
      <c r="N23" s="6">
        <f t="shared" si="70"/>
        <v>2265</v>
      </c>
      <c r="O23" s="6">
        <f t="shared" si="70"/>
        <v>2047</v>
      </c>
      <c r="P23" s="6">
        <f t="shared" si="70"/>
        <v>1124</v>
      </c>
      <c r="Q23" s="6">
        <f t="shared" si="70"/>
        <v>2190.1110198962415</v>
      </c>
      <c r="R23" s="6">
        <f t="shared" si="70"/>
        <v>2151.5079239609604</v>
      </c>
      <c r="S23" s="6">
        <f t="shared" si="70"/>
        <v>2276.3691382793813</v>
      </c>
      <c r="W23" s="6">
        <f t="shared" si="14"/>
        <v>7898</v>
      </c>
      <c r="X23" s="6">
        <f>SUM(H23:K23)</f>
        <v>4327</v>
      </c>
      <c r="Y23" s="6">
        <f>SUM(L23:O23)</f>
        <v>8368</v>
      </c>
      <c r="Z23" s="6">
        <f>SUM(P23:S23)</f>
        <v>7741.9880821365832</v>
      </c>
      <c r="AA23" s="6">
        <f t="shared" ref="AA23:AJ23" si="71">AA21-AA22</f>
        <v>9325.6173005068431</v>
      </c>
      <c r="AB23" s="6">
        <f t="shared" si="71"/>
        <v>9801.2237828326324</v>
      </c>
      <c r="AC23" s="6">
        <f t="shared" si="71"/>
        <v>10301.086195757118</v>
      </c>
      <c r="AD23" s="6">
        <f t="shared" si="71"/>
        <v>10826.44159174072</v>
      </c>
      <c r="AE23" s="6">
        <f t="shared" si="71"/>
        <v>11378.590112919512</v>
      </c>
      <c r="AF23" s="6">
        <f t="shared" si="71"/>
        <v>11958.898208678398</v>
      </c>
      <c r="AG23" s="6">
        <f t="shared" si="71"/>
        <v>12568.80201732101</v>
      </c>
      <c r="AH23" s="6">
        <f t="shared" si="71"/>
        <v>13209.810920204338</v>
      </c>
      <c r="AI23" s="6">
        <f t="shared" si="71"/>
        <v>13883.51127713477</v>
      </c>
      <c r="AJ23" s="6">
        <f t="shared" si="71"/>
        <v>14230.599059063117</v>
      </c>
      <c r="AK23" s="6">
        <f>AJ23*(1+$AM$24)</f>
        <v>14088.293068472485</v>
      </c>
      <c r="AL23" s="6">
        <f t="shared" ref="AL23:CW23" si="72">AK23*(1+$AM$24)</f>
        <v>13947.41013778776</v>
      </c>
      <c r="AM23" s="6">
        <f t="shared" si="72"/>
        <v>13807.936036409881</v>
      </c>
      <c r="AN23" s="6">
        <f t="shared" si="72"/>
        <v>13669.856676045782</v>
      </c>
      <c r="AO23" s="6">
        <f t="shared" si="72"/>
        <v>13533.158109285323</v>
      </c>
      <c r="AP23" s="6">
        <f t="shared" si="72"/>
        <v>13397.826528192471</v>
      </c>
      <c r="AQ23" s="6">
        <f t="shared" si="72"/>
        <v>13263.848262910546</v>
      </c>
      <c r="AR23" s="6">
        <f t="shared" si="72"/>
        <v>13131.209780281441</v>
      </c>
      <c r="AS23" s="6">
        <f t="shared" si="72"/>
        <v>12999.897682478626</v>
      </c>
      <c r="AT23" s="6">
        <f t="shared" si="72"/>
        <v>12869.898705653839</v>
      </c>
      <c r="AU23" s="6">
        <f t="shared" si="72"/>
        <v>12741.1997185973</v>
      </c>
      <c r="AV23" s="6">
        <f t="shared" si="72"/>
        <v>12613.787721411327</v>
      </c>
      <c r="AW23" s="6">
        <f t="shared" si="72"/>
        <v>12487.649844197213</v>
      </c>
      <c r="AX23" s="6">
        <f t="shared" si="72"/>
        <v>12362.77334575524</v>
      </c>
      <c r="AY23" s="6">
        <f t="shared" si="72"/>
        <v>12239.145612297687</v>
      </c>
      <c r="AZ23" s="6">
        <f t="shared" si="72"/>
        <v>12116.754156174709</v>
      </c>
      <c r="BA23" s="6">
        <f t="shared" si="72"/>
        <v>11995.586614612963</v>
      </c>
      <c r="BB23" s="6">
        <f t="shared" si="72"/>
        <v>11875.630748466832</v>
      </c>
      <c r="BC23" s="6">
        <f t="shared" si="72"/>
        <v>11756.874440982165</v>
      </c>
      <c r="BD23" s="6">
        <f t="shared" si="72"/>
        <v>11639.305696572343</v>
      </c>
      <c r="BE23" s="6">
        <f t="shared" si="72"/>
        <v>11522.912639606619</v>
      </c>
      <c r="BF23" s="6">
        <f t="shared" si="72"/>
        <v>11407.683513210552</v>
      </c>
      <c r="BG23" s="6">
        <f t="shared" si="72"/>
        <v>11293.606678078446</v>
      </c>
      <c r="BH23" s="6">
        <f t="shared" si="72"/>
        <v>11180.670611297661</v>
      </c>
      <c r="BI23" s="6">
        <f t="shared" si="72"/>
        <v>11068.863905184684</v>
      </c>
      <c r="BJ23" s="6">
        <f t="shared" si="72"/>
        <v>10958.175266132837</v>
      </c>
      <c r="BK23" s="6">
        <f t="shared" si="72"/>
        <v>10848.593513471509</v>
      </c>
      <c r="BL23" s="6">
        <f t="shared" si="72"/>
        <v>10740.107578336794</v>
      </c>
      <c r="BM23" s="6">
        <f t="shared" si="72"/>
        <v>10632.706502553427</v>
      </c>
      <c r="BN23" s="6">
        <f t="shared" si="72"/>
        <v>10526.379437527892</v>
      </c>
      <c r="BO23" s="6">
        <f t="shared" si="72"/>
        <v>10421.115643152612</v>
      </c>
      <c r="BP23" s="6">
        <f t="shared" si="72"/>
        <v>10316.904486721087</v>
      </c>
      <c r="BQ23" s="6">
        <f t="shared" si="72"/>
        <v>10213.735441853876</v>
      </c>
      <c r="BR23" s="6">
        <f t="shared" si="72"/>
        <v>10111.598087435337</v>
      </c>
      <c r="BS23" s="6">
        <f t="shared" si="72"/>
        <v>10010.482106560983</v>
      </c>
      <c r="BT23" s="6">
        <f t="shared" si="72"/>
        <v>9910.3772854953731</v>
      </c>
      <c r="BU23" s="6">
        <f t="shared" si="72"/>
        <v>9811.2735126404186</v>
      </c>
      <c r="BV23" s="6">
        <f t="shared" si="72"/>
        <v>9713.1607775140146</v>
      </c>
      <c r="BW23" s="6">
        <f t="shared" si="72"/>
        <v>9616.0291697388748</v>
      </c>
      <c r="BX23" s="6">
        <f t="shared" si="72"/>
        <v>9519.8688780414868</v>
      </c>
      <c r="BY23" s="6">
        <f t="shared" si="72"/>
        <v>9424.6701892610727</v>
      </c>
      <c r="BZ23" s="6">
        <f t="shared" si="72"/>
        <v>9330.4234873684618</v>
      </c>
      <c r="CA23" s="6">
        <f t="shared" si="72"/>
        <v>9237.1192524947764</v>
      </c>
      <c r="CB23" s="6">
        <f t="shared" si="72"/>
        <v>9144.7480599698283</v>
      </c>
      <c r="CC23" s="6">
        <f t="shared" si="72"/>
        <v>9053.3005793701304</v>
      </c>
      <c r="CD23" s="6">
        <f t="shared" si="72"/>
        <v>8962.7675735764296</v>
      </c>
      <c r="CE23" s="6">
        <f t="shared" si="72"/>
        <v>8873.1398978406651</v>
      </c>
      <c r="CF23" s="6">
        <f t="shared" si="72"/>
        <v>8784.4084988622581</v>
      </c>
      <c r="CG23" s="6">
        <f t="shared" si="72"/>
        <v>8696.5644138736352</v>
      </c>
      <c r="CH23" s="6">
        <f t="shared" si="72"/>
        <v>8609.5987697348992</v>
      </c>
      <c r="CI23" s="6">
        <f t="shared" si="72"/>
        <v>8523.5027820375508</v>
      </c>
      <c r="CJ23" s="6">
        <f t="shared" si="72"/>
        <v>8438.267754217175</v>
      </c>
      <c r="CK23" s="6">
        <f t="shared" si="72"/>
        <v>8353.8850766750038</v>
      </c>
      <c r="CL23" s="6">
        <f t="shared" si="72"/>
        <v>8270.3462259082535</v>
      </c>
      <c r="CM23" s="6">
        <f t="shared" si="72"/>
        <v>8187.6427636491708</v>
      </c>
      <c r="CN23" s="6">
        <f t="shared" si="72"/>
        <v>8105.7663360126789</v>
      </c>
      <c r="CO23" s="6">
        <f t="shared" si="72"/>
        <v>8024.7086726525522</v>
      </c>
      <c r="CP23" s="6">
        <f t="shared" si="72"/>
        <v>7944.4615859260266</v>
      </c>
      <c r="CQ23" s="6">
        <f t="shared" si="72"/>
        <v>7865.0169700667666</v>
      </c>
      <c r="CR23" s="6">
        <f t="shared" si="72"/>
        <v>7786.3668003660987</v>
      </c>
      <c r="CS23" s="6">
        <f t="shared" si="72"/>
        <v>7708.503132362438</v>
      </c>
      <c r="CT23" s="6">
        <f t="shared" si="72"/>
        <v>7631.4181010388138</v>
      </c>
      <c r="CU23" s="6">
        <f t="shared" si="72"/>
        <v>7555.1039200284258</v>
      </c>
      <c r="CV23" s="6">
        <f t="shared" si="72"/>
        <v>7479.5528808281415</v>
      </c>
      <c r="CW23" s="6">
        <f t="shared" si="72"/>
        <v>7404.7573520198603</v>
      </c>
      <c r="CX23" s="6">
        <f t="shared" ref="CX23:FI23" si="73">CW23*(1+$AM$24)</f>
        <v>7330.7097784996613</v>
      </c>
      <c r="CY23" s="6">
        <f t="shared" si="73"/>
        <v>7257.4026807146647</v>
      </c>
      <c r="CZ23" s="6">
        <f t="shared" si="73"/>
        <v>7184.8286539075179</v>
      </c>
      <c r="DA23" s="6">
        <f t="shared" si="73"/>
        <v>7112.9803673684428</v>
      </c>
      <c r="DB23" s="6">
        <f t="shared" si="73"/>
        <v>7041.8505636947584</v>
      </c>
      <c r="DC23" s="6">
        <f t="shared" si="73"/>
        <v>6971.4320580578105</v>
      </c>
      <c r="DD23" s="6">
        <f t="shared" si="73"/>
        <v>6901.7177374772327</v>
      </c>
      <c r="DE23" s="6">
        <f t="shared" si="73"/>
        <v>6832.7005601024603</v>
      </c>
      <c r="DF23" s="6">
        <f t="shared" si="73"/>
        <v>6764.373554501436</v>
      </c>
      <c r="DG23" s="6">
        <f t="shared" si="73"/>
        <v>6696.7298189564217</v>
      </c>
      <c r="DH23" s="6">
        <f t="shared" si="73"/>
        <v>6629.7625207668571</v>
      </c>
      <c r="DI23" s="6">
        <f t="shared" si="73"/>
        <v>6563.4648955591883</v>
      </c>
      <c r="DJ23" s="6">
        <f t="shared" si="73"/>
        <v>6497.8302466035966</v>
      </c>
      <c r="DK23" s="6">
        <f t="shared" si="73"/>
        <v>6432.8519441375602</v>
      </c>
      <c r="DL23" s="6">
        <f t="shared" si="73"/>
        <v>6368.5234246961845</v>
      </c>
      <c r="DM23" s="6">
        <f t="shared" si="73"/>
        <v>6304.8381904492226</v>
      </c>
      <c r="DN23" s="6">
        <f t="shared" si="73"/>
        <v>6241.7898085447305</v>
      </c>
      <c r="DO23" s="6">
        <f t="shared" si="73"/>
        <v>6179.3719104592828</v>
      </c>
      <c r="DP23" s="6">
        <f t="shared" si="73"/>
        <v>6117.5781913546898</v>
      </c>
      <c r="DQ23" s="6">
        <f t="shared" si="73"/>
        <v>6056.4024094411425</v>
      </c>
      <c r="DR23" s="6">
        <f t="shared" si="73"/>
        <v>5995.8383853467312</v>
      </c>
      <c r="DS23" s="6">
        <f t="shared" si="73"/>
        <v>5935.880001493264</v>
      </c>
      <c r="DT23" s="6">
        <f t="shared" si="73"/>
        <v>5876.521201478331</v>
      </c>
      <c r="DU23" s="6">
        <f t="shared" si="73"/>
        <v>5817.7559894635478</v>
      </c>
      <c r="DV23" s="6">
        <f t="shared" si="73"/>
        <v>5759.5784295689127</v>
      </c>
      <c r="DW23" s="6">
        <f t="shared" si="73"/>
        <v>5701.9826452732232</v>
      </c>
      <c r="DX23" s="6">
        <f t="shared" si="73"/>
        <v>5644.9628188204906</v>
      </c>
      <c r="DY23" s="6">
        <f t="shared" si="73"/>
        <v>5588.5131906322858</v>
      </c>
      <c r="DZ23" s="6">
        <f t="shared" si="73"/>
        <v>5532.6280587259625</v>
      </c>
      <c r="EA23" s="6">
        <f t="shared" si="73"/>
        <v>5477.3017781387025</v>
      </c>
      <c r="EB23" s="6">
        <f t="shared" si="73"/>
        <v>5422.5287603573152</v>
      </c>
      <c r="EC23" s="6">
        <f t="shared" si="73"/>
        <v>5368.3034727537415</v>
      </c>
      <c r="ED23" s="6">
        <f t="shared" si="73"/>
        <v>5314.6204380262043</v>
      </c>
      <c r="EE23" s="6">
        <f t="shared" si="73"/>
        <v>5261.4742336459421</v>
      </c>
      <c r="EF23" s="6">
        <f t="shared" si="73"/>
        <v>5208.859491309483</v>
      </c>
      <c r="EG23" s="6">
        <f t="shared" si="73"/>
        <v>5156.7708963963878</v>
      </c>
      <c r="EH23" s="6">
        <f t="shared" si="73"/>
        <v>5105.2031874324239</v>
      </c>
      <c r="EI23" s="6">
        <f t="shared" si="73"/>
        <v>5054.1511555580992</v>
      </c>
      <c r="EJ23" s="6">
        <f t="shared" si="73"/>
        <v>5003.6096440025185</v>
      </c>
      <c r="EK23" s="6">
        <f t="shared" si="73"/>
        <v>4953.5735475624933</v>
      </c>
      <c r="EL23" s="6">
        <f t="shared" si="73"/>
        <v>4904.0378120868681</v>
      </c>
      <c r="EM23" s="6">
        <f t="shared" si="73"/>
        <v>4854.9974339659993</v>
      </c>
      <c r="EN23" s="6">
        <f t="shared" si="73"/>
        <v>4806.447459626339</v>
      </c>
      <c r="EO23" s="6">
        <f t="shared" si="73"/>
        <v>4758.3829850300754</v>
      </c>
      <c r="EP23" s="6">
        <f t="shared" si="73"/>
        <v>4710.799155179775</v>
      </c>
      <c r="EQ23" s="6">
        <f t="shared" si="73"/>
        <v>4663.6911636279774</v>
      </c>
      <c r="ER23" s="6">
        <f t="shared" si="73"/>
        <v>4617.054251991698</v>
      </c>
      <c r="ES23" s="6">
        <f t="shared" si="73"/>
        <v>4570.883709471781</v>
      </c>
      <c r="ET23" s="6">
        <f t="shared" si="73"/>
        <v>4525.1748723770634</v>
      </c>
      <c r="EU23" s="6">
        <f t="shared" si="73"/>
        <v>4479.9231236532924</v>
      </c>
      <c r="EV23" s="6">
        <f t="shared" si="73"/>
        <v>4435.1238924167592</v>
      </c>
      <c r="EW23" s="6">
        <f t="shared" si="73"/>
        <v>4390.7726534925914</v>
      </c>
      <c r="EX23" s="6">
        <f t="shared" si="73"/>
        <v>4346.8649269576654</v>
      </c>
      <c r="EY23" s="6">
        <f t="shared" si="73"/>
        <v>4303.396277688089</v>
      </c>
      <c r="EZ23" s="6">
        <f t="shared" si="73"/>
        <v>4260.3623149112082</v>
      </c>
      <c r="FA23" s="6">
        <f t="shared" si="73"/>
        <v>4217.7586917620956</v>
      </c>
      <c r="FB23" s="6">
        <f t="shared" si="73"/>
        <v>4175.5811048444748</v>
      </c>
      <c r="FC23" s="6">
        <f t="shared" si="73"/>
        <v>4133.8252937960297</v>
      </c>
      <c r="FD23" s="6">
        <f t="shared" si="73"/>
        <v>4092.4870408580691</v>
      </c>
      <c r="FE23" s="6">
        <f t="shared" si="73"/>
        <v>4051.5621704494883</v>
      </c>
      <c r="FF23" s="6">
        <f t="shared" si="73"/>
        <v>4011.0465487449933</v>
      </c>
      <c r="FG23" s="6">
        <f t="shared" si="73"/>
        <v>3970.9360832575435</v>
      </c>
      <c r="FH23" s="6">
        <f t="shared" si="73"/>
        <v>3931.2267224249681</v>
      </c>
      <c r="FI23" s="6">
        <f t="shared" si="73"/>
        <v>3891.9144552007183</v>
      </c>
      <c r="FJ23" s="6">
        <f t="shared" ref="FJ23:GF23" si="74">FI23*(1+$AM$24)</f>
        <v>3852.995310648711</v>
      </c>
      <c r="FK23" s="6">
        <f t="shared" si="74"/>
        <v>3814.465357542224</v>
      </c>
      <c r="FL23" s="6">
        <f t="shared" si="74"/>
        <v>3776.3207039668018</v>
      </c>
      <c r="FM23" s="6">
        <f t="shared" si="74"/>
        <v>3738.5574969271338</v>
      </c>
      <c r="FN23" s="6">
        <f t="shared" si="74"/>
        <v>3701.1719219578627</v>
      </c>
      <c r="FO23" s="6">
        <f t="shared" si="74"/>
        <v>3664.1602027382842</v>
      </c>
      <c r="FP23" s="6">
        <f t="shared" si="74"/>
        <v>3627.5186007109014</v>
      </c>
      <c r="FQ23" s="6">
        <f t="shared" si="74"/>
        <v>3591.2434147037925</v>
      </c>
      <c r="FR23" s="6">
        <f t="shared" si="74"/>
        <v>3555.3309805567546</v>
      </c>
      <c r="FS23" s="6">
        <f t="shared" si="74"/>
        <v>3519.7776707511871</v>
      </c>
      <c r="FT23" s="6">
        <f t="shared" si="74"/>
        <v>3484.5798940436753</v>
      </c>
      <c r="FU23" s="6">
        <f t="shared" si="74"/>
        <v>3449.7340951032384</v>
      </c>
      <c r="FV23" s="6">
        <f t="shared" si="74"/>
        <v>3415.2367541522058</v>
      </c>
      <c r="FW23" s="6">
        <f t="shared" si="74"/>
        <v>3381.0843866106839</v>
      </c>
      <c r="FX23" s="6">
        <f t="shared" si="74"/>
        <v>3347.2735427445768</v>
      </c>
      <c r="FY23" s="6">
        <f t="shared" si="74"/>
        <v>3313.8008073171309</v>
      </c>
      <c r="FZ23" s="6">
        <f t="shared" si="74"/>
        <v>3280.6627992439594</v>
      </c>
      <c r="GA23" s="6">
        <f t="shared" si="74"/>
        <v>3247.8561712515198</v>
      </c>
      <c r="GB23" s="6">
        <f t="shared" si="74"/>
        <v>3215.3776095390044</v>
      </c>
      <c r="GC23" s="6">
        <f t="shared" si="74"/>
        <v>3183.2238334436142</v>
      </c>
      <c r="GD23" s="6">
        <f t="shared" si="74"/>
        <v>3151.3915951091781</v>
      </c>
      <c r="GE23" s="6">
        <f t="shared" si="74"/>
        <v>3119.8776791580863</v>
      </c>
      <c r="GF23" s="6">
        <f t="shared" si="74"/>
        <v>3088.6789023665056</v>
      </c>
    </row>
    <row r="24" spans="1:188">
      <c r="A24" s="13" t="s">
        <v>80</v>
      </c>
      <c r="C24" s="1">
        <v>-11</v>
      </c>
      <c r="D24" s="1">
        <v>-1</v>
      </c>
      <c r="E24" s="1">
        <v>-8</v>
      </c>
      <c r="F24" s="1">
        <v>11</v>
      </c>
      <c r="G24" s="1">
        <v>10</v>
      </c>
      <c r="H24" s="1">
        <v>-1</v>
      </c>
      <c r="I24" s="1">
        <v>-10</v>
      </c>
      <c r="J24" s="1">
        <v>-7</v>
      </c>
      <c r="K24" s="1">
        <v>2</v>
      </c>
      <c r="L24" s="1">
        <v>-6</v>
      </c>
      <c r="M24" s="1">
        <v>-13</v>
      </c>
      <c r="N24" s="1">
        <v>-4</v>
      </c>
      <c r="O24" s="1">
        <v>-1</v>
      </c>
      <c r="P24" s="1">
        <v>-11</v>
      </c>
      <c r="Q24" s="50">
        <f>Q7*-0.00004</f>
        <v>-3.8413872000000007</v>
      </c>
      <c r="R24" s="50">
        <f t="shared" ref="R24:S24" si="75">R7*-0.00004</f>
        <v>-3.77367856</v>
      </c>
      <c r="S24" s="50">
        <f t="shared" si="75"/>
        <v>-3.9926812800000007</v>
      </c>
      <c r="W24" s="4">
        <f t="shared" si="14"/>
        <v>12</v>
      </c>
      <c r="X24" s="4">
        <f t="shared" ref="X24" si="76">SUM(H24:K24)</f>
        <v>-16</v>
      </c>
      <c r="Y24" s="4">
        <f t="shared" ref="Y24" si="77">SUM(L24:O24)</f>
        <v>-24</v>
      </c>
      <c r="Z24" s="4">
        <f t="shared" ref="Z24" si="78">SUM(P24:S24)</f>
        <v>-22.60774704</v>
      </c>
      <c r="AA24" s="50">
        <f t="shared" ref="AA24:AJ24" si="79">AA7*-0.00004</f>
        <v>-16.356845203200002</v>
      </c>
      <c r="AB24" s="50">
        <f t="shared" si="79"/>
        <v>-17.191044308563203</v>
      </c>
      <c r="AC24" s="50">
        <f t="shared" si="79"/>
        <v>-18.067787568299927</v>
      </c>
      <c r="AD24" s="50">
        <f t="shared" si="79"/>
        <v>-18.989244734283222</v>
      </c>
      <c r="AE24" s="50">
        <f t="shared" si="79"/>
        <v>-19.957696215731662</v>
      </c>
      <c r="AF24" s="50">
        <f t="shared" si="79"/>
        <v>-20.97553872273398</v>
      </c>
      <c r="AG24" s="50">
        <f t="shared" si="79"/>
        <v>-22.045291197593411</v>
      </c>
      <c r="AH24" s="50">
        <f t="shared" si="79"/>
        <v>-23.169601048670675</v>
      </c>
      <c r="AI24" s="50">
        <f t="shared" si="79"/>
        <v>-24.351250702152878</v>
      </c>
      <c r="AJ24" s="50">
        <f t="shared" si="79"/>
        <v>-24.960031969706698</v>
      </c>
      <c r="AL24" s="51" t="s">
        <v>95</v>
      </c>
      <c r="AM24" s="52">
        <v>-0.01</v>
      </c>
    </row>
    <row r="25" spans="1:188" s="5" customFormat="1">
      <c r="A25" s="14" t="s">
        <v>81</v>
      </c>
      <c r="C25" s="6">
        <f t="shared" ref="C25" si="80">C23+C24</f>
        <v>973</v>
      </c>
      <c r="D25" s="6">
        <f t="shared" ref="D25:E25" si="81">D23+D24</f>
        <v>2223</v>
      </c>
      <c r="E25" s="6">
        <f t="shared" si="81"/>
        <v>2783</v>
      </c>
      <c r="F25" s="6">
        <f t="shared" ref="F25:G25" si="82">F23+F24</f>
        <v>1598</v>
      </c>
      <c r="G25" s="6">
        <f t="shared" si="82"/>
        <v>1306</v>
      </c>
      <c r="H25" s="6">
        <f t="shared" ref="H25:S25" si="83">H23+H24</f>
        <v>2354</v>
      </c>
      <c r="I25" s="6">
        <f t="shared" si="83"/>
        <v>3029</v>
      </c>
      <c r="J25" s="6">
        <f t="shared" si="83"/>
        <v>-3406</v>
      </c>
      <c r="K25" s="6">
        <f t="shared" si="83"/>
        <v>2334</v>
      </c>
      <c r="L25" s="6">
        <f t="shared" si="83"/>
        <v>2136</v>
      </c>
      <c r="M25" s="6">
        <f t="shared" si="83"/>
        <v>1901</v>
      </c>
      <c r="N25" s="6">
        <f t="shared" si="83"/>
        <v>2261</v>
      </c>
      <c r="O25" s="6">
        <f t="shared" si="83"/>
        <v>2046</v>
      </c>
      <c r="P25" s="6">
        <f t="shared" si="83"/>
        <v>1113</v>
      </c>
      <c r="Q25" s="6">
        <f t="shared" si="83"/>
        <v>2186.2696326962414</v>
      </c>
      <c r="R25" s="6">
        <f t="shared" si="83"/>
        <v>2147.7342454009604</v>
      </c>
      <c r="S25" s="6">
        <f t="shared" si="83"/>
        <v>2272.3764569993814</v>
      </c>
      <c r="W25" s="6">
        <f t="shared" si="14"/>
        <v>7910</v>
      </c>
      <c r="X25" s="6">
        <f>SUM(H25:K25)</f>
        <v>4311</v>
      </c>
      <c r="Y25" s="6">
        <f>SUM(L25:O25)</f>
        <v>8344</v>
      </c>
      <c r="Z25" s="6">
        <f>SUM(P25:S25)</f>
        <v>7719.3803350965827</v>
      </c>
      <c r="AA25" s="6">
        <f t="shared" ref="AA25:AJ25" si="84">AA23+AA24</f>
        <v>9309.2604553036435</v>
      </c>
      <c r="AB25" s="6">
        <f t="shared" si="84"/>
        <v>9784.0327385240689</v>
      </c>
      <c r="AC25" s="6">
        <f t="shared" si="84"/>
        <v>10283.018408188818</v>
      </c>
      <c r="AD25" s="6">
        <f t="shared" si="84"/>
        <v>10807.452347006438</v>
      </c>
      <c r="AE25" s="6">
        <f t="shared" si="84"/>
        <v>11358.63241670378</v>
      </c>
      <c r="AF25" s="6">
        <f t="shared" si="84"/>
        <v>11937.922669955664</v>
      </c>
      <c r="AG25" s="6">
        <f t="shared" si="84"/>
        <v>12546.756726123416</v>
      </c>
      <c r="AH25" s="6">
        <f t="shared" si="84"/>
        <v>13186.641319155668</v>
      </c>
      <c r="AI25" s="6">
        <f t="shared" si="84"/>
        <v>13859.160026432617</v>
      </c>
      <c r="AJ25" s="6">
        <f t="shared" si="84"/>
        <v>14205.63902709341</v>
      </c>
      <c r="AL25" s="53" t="s">
        <v>96</v>
      </c>
      <c r="AM25" s="54">
        <v>0.06</v>
      </c>
    </row>
    <row r="26" spans="1:188" s="4" customFormat="1">
      <c r="A26" s="11" t="s">
        <v>82</v>
      </c>
      <c r="C26" s="7">
        <f t="shared" ref="C26" si="85">C25/C27</f>
        <v>0.73880030372057703</v>
      </c>
      <c r="D26" s="7">
        <f t="shared" ref="D26:E26" si="86">D25/D27</f>
        <v>1.6815431164901664</v>
      </c>
      <c r="E26" s="7">
        <f t="shared" si="86"/>
        <v>2.0972117558402412</v>
      </c>
      <c r="F26" s="7">
        <f t="shared" ref="F26:G26" si="87">F25/F27</f>
        <v>1.2024078254326562</v>
      </c>
      <c r="G26" s="7">
        <f t="shared" si="87"/>
        <v>0.97754491017964074</v>
      </c>
      <c r="H26" s="7">
        <f t="shared" ref="H26:P26" si="88">H25/H27</f>
        <v>1.7725903614457832</v>
      </c>
      <c r="I26" s="7">
        <f t="shared" si="88"/>
        <v>2.2929598788796368</v>
      </c>
      <c r="J26" s="7">
        <f t="shared" si="88"/>
        <v>-2.5901140684410646</v>
      </c>
      <c r="K26" s="7">
        <f t="shared" si="88"/>
        <v>1.7695223654283547</v>
      </c>
      <c r="L26" s="7">
        <f t="shared" si="88"/>
        <v>1.6545313710302092</v>
      </c>
      <c r="M26" s="7">
        <f t="shared" si="88"/>
        <v>1.4770784770784771</v>
      </c>
      <c r="N26" s="7">
        <f t="shared" si="88"/>
        <v>1.7527131782945737</v>
      </c>
      <c r="O26" s="7">
        <f t="shared" si="88"/>
        <v>1.5823665893271461</v>
      </c>
      <c r="P26" s="7">
        <f t="shared" si="88"/>
        <v>0.87845303867403313</v>
      </c>
      <c r="Q26" s="7">
        <f t="shared" ref="Q26:S26" si="89">Q25/Q27</f>
        <v>1.7351346291240011</v>
      </c>
      <c r="R26" s="7">
        <f t="shared" si="89"/>
        <v>1.7045509884134606</v>
      </c>
      <c r="S26" s="7">
        <f t="shared" si="89"/>
        <v>1.8063405858500647</v>
      </c>
      <c r="W26" s="4">
        <f t="shared" si="14"/>
        <v>5.9587076079427046</v>
      </c>
      <c r="X26" s="4">
        <f t="shared" ref="X26" si="90">SUM(H26:K26)</f>
        <v>3.2449585373127103</v>
      </c>
      <c r="Y26" s="4">
        <f t="shared" ref="Y26" si="91">SUM(L26:O26)</f>
        <v>6.4666896157304059</v>
      </c>
      <c r="Z26" s="4">
        <f t="shared" ref="Z26" si="92">SUM(P26:S26)</f>
        <v>6.1244792420615601</v>
      </c>
      <c r="AA26" s="7">
        <f t="shared" ref="AA26:AJ26" si="93">AA25/AA27</f>
        <v>7.4000480566801619</v>
      </c>
      <c r="AB26" s="7">
        <f t="shared" si="93"/>
        <v>7.7774505075708023</v>
      </c>
      <c r="AC26" s="7">
        <f t="shared" si="93"/>
        <v>8.1741004834569306</v>
      </c>
      <c r="AD26" s="7">
        <f t="shared" si="93"/>
        <v>8.5909796081132264</v>
      </c>
      <c r="AE26" s="7">
        <f t="shared" si="93"/>
        <v>9.0291195681270118</v>
      </c>
      <c r="AF26" s="7">
        <f t="shared" si="93"/>
        <v>9.4896046661014815</v>
      </c>
      <c r="AG26" s="7">
        <f t="shared" si="93"/>
        <v>9.9735745040726673</v>
      </c>
      <c r="AH26" s="7">
        <f t="shared" si="93"/>
        <v>10.482226803780341</v>
      </c>
      <c r="AI26" s="7">
        <f t="shared" si="93"/>
        <v>11.016820370773145</v>
      </c>
      <c r="AJ26" s="7">
        <f t="shared" si="93"/>
        <v>11.292240880042456</v>
      </c>
      <c r="AL26" s="55" t="s">
        <v>97</v>
      </c>
      <c r="AM26" s="56">
        <f>NPV(AM25,Z23:GF23)</f>
        <v>193029.55628030762</v>
      </c>
    </row>
    <row r="27" spans="1:188" s="4" customFormat="1">
      <c r="A27" s="11" t="s">
        <v>1</v>
      </c>
      <c r="C27" s="4">
        <v>1317</v>
      </c>
      <c r="D27" s="4">
        <v>1322</v>
      </c>
      <c r="E27" s="4">
        <v>1327</v>
      </c>
      <c r="F27" s="4">
        <v>1329</v>
      </c>
      <c r="G27" s="4">
        <v>1336</v>
      </c>
      <c r="H27" s="4">
        <v>1328</v>
      </c>
      <c r="I27" s="4">
        <v>1321</v>
      </c>
      <c r="J27" s="4">
        <v>1315</v>
      </c>
      <c r="K27" s="4">
        <v>1319</v>
      </c>
      <c r="L27" s="4">
        <v>1291</v>
      </c>
      <c r="M27" s="4">
        <v>1287</v>
      </c>
      <c r="N27" s="4">
        <v>1290</v>
      </c>
      <c r="O27" s="4">
        <v>1293</v>
      </c>
      <c r="P27" s="4">
        <v>1267</v>
      </c>
      <c r="Q27" s="4">
        <v>1260</v>
      </c>
      <c r="R27" s="4">
        <v>1260</v>
      </c>
      <c r="S27" s="4">
        <v>1258</v>
      </c>
      <c r="W27" s="4">
        <f>AVERAGE(D27:G27)</f>
        <v>1328.5</v>
      </c>
      <c r="X27" s="4">
        <f>AVERAGE(H27:K27)</f>
        <v>1320.75</v>
      </c>
      <c r="Y27" s="4">
        <f>AVERAGE(L27:O27)</f>
        <v>1290.25</v>
      </c>
      <c r="Z27" s="4">
        <f>AVERAGE(P27:S27)</f>
        <v>1261.25</v>
      </c>
      <c r="AA27" s="4">
        <v>1258</v>
      </c>
      <c r="AB27" s="4">
        <v>1258</v>
      </c>
      <c r="AC27" s="4">
        <v>1258</v>
      </c>
      <c r="AD27" s="4">
        <v>1258</v>
      </c>
      <c r="AE27" s="4">
        <v>1258</v>
      </c>
      <c r="AF27" s="4">
        <v>1258</v>
      </c>
      <c r="AG27" s="4">
        <v>1258</v>
      </c>
      <c r="AH27" s="4">
        <v>1258</v>
      </c>
      <c r="AI27" s="4">
        <v>1258</v>
      </c>
      <c r="AJ27" s="4">
        <v>1258</v>
      </c>
      <c r="AL27" s="55" t="s">
        <v>3</v>
      </c>
      <c r="AM27" s="56">
        <v>-68703</v>
      </c>
    </row>
    <row r="28" spans="1:188">
      <c r="AL28" s="57" t="s">
        <v>98</v>
      </c>
      <c r="AM28" s="56">
        <f>AM26+AM27</f>
        <v>124326.55628030762</v>
      </c>
    </row>
    <row r="29" spans="1:188">
      <c r="A29" s="13" t="s">
        <v>85</v>
      </c>
      <c r="C29" s="8"/>
      <c r="D29" s="8"/>
      <c r="E29" s="8"/>
      <c r="F29" s="8"/>
      <c r="G29" s="8">
        <f t="shared" ref="G29:H29" si="94">G7/C7-1</f>
        <v>0.10136009431520843</v>
      </c>
      <c r="H29" s="8">
        <f t="shared" si="94"/>
        <v>0.11185724416400133</v>
      </c>
      <c r="I29" s="8">
        <f t="shared" ref="I29" si="95">I7/E7-1</f>
        <v>0.11044397928831118</v>
      </c>
      <c r="J29" s="8">
        <f t="shared" ref="J29" si="96">J7/F7-1</f>
        <v>9.9804862183917376E-2</v>
      </c>
      <c r="K29" s="8">
        <f t="shared" ref="K29" si="97">K7/G7-1</f>
        <v>9.4538144222233722E-2</v>
      </c>
      <c r="L29" s="8">
        <f t="shared" ref="L29:O29" si="98">L7/H7-1</f>
        <v>0.11001483872647277</v>
      </c>
      <c r="M29" s="8">
        <f t="shared" si="98"/>
        <v>0.10274567190832884</v>
      </c>
      <c r="N29" s="8">
        <f t="shared" si="98"/>
        <v>0.10602644192264576</v>
      </c>
      <c r="O29" s="8">
        <f t="shared" si="98"/>
        <v>0.11887269517925714</v>
      </c>
      <c r="P29" s="8">
        <f>P7/L7-1</f>
        <v>3.7043551678041187E-2</v>
      </c>
      <c r="Q29" s="8">
        <f t="shared" ref="Q29:S29" si="99">Q7/M7-1</f>
        <v>8.0000000000000071E-2</v>
      </c>
      <c r="R29" s="8">
        <f t="shared" si="99"/>
        <v>5.0999999999999934E-2</v>
      </c>
      <c r="S29" s="8">
        <f t="shared" si="99"/>
        <v>6.4000000000000057E-2</v>
      </c>
      <c r="X29" s="8">
        <f>X7/W7-1</f>
        <v>0.10391940050186399</v>
      </c>
      <c r="Y29" s="8">
        <f>Y7/X7-1</f>
        <v>0.10949647560835674</v>
      </c>
      <c r="Z29" s="49">
        <f>Z7/Y7-1</f>
        <v>5.8289756719287933E-2</v>
      </c>
      <c r="AA29" s="8">
        <f t="shared" ref="AA29:AJ29" si="100">AA7/Z7-1</f>
        <v>8.0000000000000071E-2</v>
      </c>
      <c r="AB29" s="8">
        <f t="shared" si="100"/>
        <v>5.0999999999999934E-2</v>
      </c>
      <c r="AC29" s="8">
        <f t="shared" si="100"/>
        <v>5.0999999999999934E-2</v>
      </c>
      <c r="AD29" s="8">
        <f t="shared" si="100"/>
        <v>5.0999999999999934E-2</v>
      </c>
      <c r="AE29" s="8">
        <f t="shared" si="100"/>
        <v>5.0999999999999934E-2</v>
      </c>
      <c r="AF29" s="8">
        <f t="shared" si="100"/>
        <v>5.0999999999999934E-2</v>
      </c>
      <c r="AG29" s="8">
        <f t="shared" si="100"/>
        <v>5.0999999999999934E-2</v>
      </c>
      <c r="AH29" s="8">
        <f t="shared" si="100"/>
        <v>5.0999999999999934E-2</v>
      </c>
      <c r="AI29" s="8">
        <f t="shared" si="100"/>
        <v>5.0999999999999934E-2</v>
      </c>
      <c r="AJ29" s="8">
        <f t="shared" si="100"/>
        <v>2.4999999999999911E-2</v>
      </c>
      <c r="AL29" s="57" t="s">
        <v>99</v>
      </c>
      <c r="AM29" s="58">
        <f>AM28/Main!L3</f>
        <v>99.035552822390727</v>
      </c>
    </row>
    <row r="30" spans="1:188">
      <c r="A30" s="13" t="s">
        <v>86</v>
      </c>
      <c r="C30" s="8"/>
      <c r="D30" s="8">
        <f t="shared" ref="D30" si="101">D7/C7-1</f>
        <v>-6.5704344825603389E-3</v>
      </c>
      <c r="E30" s="8">
        <f t="shared" ref="E30" si="102">E7/D7-1</f>
        <v>5.0928404995875365E-2</v>
      </c>
      <c r="F30" s="8">
        <f t="shared" ref="F30" si="103">F7/E7-1</f>
        <v>1.6222320149829272E-2</v>
      </c>
      <c r="G30" s="8">
        <f t="shared" ref="G30" si="104">G7/F7-1</f>
        <v>3.8078976610564474E-2</v>
      </c>
      <c r="H30" s="8">
        <f t="shared" ref="H30" si="105">H7/G7-1</f>
        <v>2.8980209910709487E-3</v>
      </c>
      <c r="I30" s="8">
        <f t="shared" ref="I30" si="106">I7/H7-1</f>
        <v>4.9592585843334369E-2</v>
      </c>
      <c r="J30" s="8">
        <f t="shared" ref="J30" si="107">J7/I7-1</f>
        <v>6.4859368024208219E-3</v>
      </c>
      <c r="K30" s="8">
        <f t="shared" ref="K30" si="108">K7/J7-1</f>
        <v>3.3107850022794816E-2</v>
      </c>
      <c r="L30" s="8">
        <f t="shared" ref="L30:O30" si="109">L7/K7-1</f>
        <v>1.7078930420055816E-2</v>
      </c>
      <c r="M30" s="8">
        <f t="shared" si="109"/>
        <v>4.271910692089409E-2</v>
      </c>
      <c r="N30" s="8">
        <f t="shared" si="109"/>
        <v>9.4803252325097453E-3</v>
      </c>
      <c r="O30" s="8">
        <f t="shared" si="109"/>
        <v>4.5107169912214307E-2</v>
      </c>
      <c r="P30" s="8">
        <f>P7/O7-1</f>
        <v>-5.7305490710242712E-2</v>
      </c>
      <c r="Q30" s="8">
        <f t="shared" ref="Q30:S30" si="110">Q7/P7-1</f>
        <v>8.5910648258082034E-2</v>
      </c>
      <c r="R30" s="8">
        <f t="shared" si="110"/>
        <v>-1.7626090907992942E-2</v>
      </c>
      <c r="S30" s="8">
        <f t="shared" si="110"/>
        <v>5.8034280482013534E-2</v>
      </c>
      <c r="AL30" s="59" t="s">
        <v>100</v>
      </c>
      <c r="AM30" s="60">
        <f>AM29/Main!L2-1</f>
        <v>0.72175856784406678</v>
      </c>
    </row>
    <row r="32" spans="1:188">
      <c r="A32" s="13" t="s">
        <v>87</v>
      </c>
      <c r="D32" s="8">
        <f t="shared" ref="D32:G32" si="111">(D3+D4-D8-D9)/(D3+D4)</f>
        <v>0.14693957526338794</v>
      </c>
      <c r="E32" s="8">
        <f t="shared" si="111"/>
        <v>0.14511998618864017</v>
      </c>
      <c r="F32" s="8">
        <f t="shared" si="111"/>
        <v>0.1375693493513277</v>
      </c>
      <c r="G32" s="8">
        <f t="shared" si="111"/>
        <v>0.13974145234906665</v>
      </c>
      <c r="H32" s="8">
        <f t="shared" ref="H32:O32" si="112">(H3+H4-H8-H9)/(H3+H4)</f>
        <v>0.14457945059539062</v>
      </c>
      <c r="I32" s="8">
        <f t="shared" si="112"/>
        <v>0.14443846567760782</v>
      </c>
      <c r="J32" s="8">
        <f t="shared" si="112"/>
        <v>0.13834142868041605</v>
      </c>
      <c r="K32" s="8">
        <f t="shared" si="112"/>
        <v>0.13695386778143612</v>
      </c>
      <c r="L32" s="8">
        <f t="shared" si="112"/>
        <v>0.12843792045964195</v>
      </c>
      <c r="M32" s="8">
        <f t="shared" si="112"/>
        <v>0.12059967074153211</v>
      </c>
      <c r="N32" s="8">
        <f t="shared" si="112"/>
        <v>0.11364085858879647</v>
      </c>
      <c r="O32" s="8">
        <f t="shared" si="112"/>
        <v>0.11406532267896131</v>
      </c>
      <c r="P32" s="8">
        <f>(P3+P4-P8-P9)/(P3+P4)</f>
        <v>9.7949236164774411E-2</v>
      </c>
      <c r="Q32" s="8">
        <f t="shared" ref="Q32:S32" si="113">(Q3+Q4-Q8-Q9)/(Q3+Q4)</f>
        <v>0.11727433260621181</v>
      </c>
      <c r="R32" s="8">
        <f t="shared" si="113"/>
        <v>0.11681563084597796</v>
      </c>
      <c r="S32" s="8">
        <f t="shared" si="113"/>
        <v>0.11828180120356939</v>
      </c>
      <c r="W32" s="8">
        <f t="shared" ref="W32:X32" si="114">(W3+W4-W8-W9)/(W3+W4)</f>
        <v>0.1422338943080716</v>
      </c>
      <c r="X32" s="8">
        <f t="shared" si="114"/>
        <v>0.14098914555724387</v>
      </c>
      <c r="Y32" s="8">
        <f>(Y3+Y4-Y8-Y9)/(Y3+Y4)</f>
        <v>0.11902825777597073</v>
      </c>
      <c r="Z32" s="8">
        <f>(Z3+Z4-Z8-Z9)/(Z3+Z4)</f>
        <v>0.11295509185342535</v>
      </c>
      <c r="AA32" s="8">
        <f t="shared" ref="AA32:AJ32" si="115">(AA3+AA4-AA8-AA9)/(AA3+AA4)</f>
        <v>0.11828180120356932</v>
      </c>
      <c r="AB32" s="8">
        <f t="shared" si="115"/>
        <v>0.11828180120356921</v>
      </c>
      <c r="AC32" s="8">
        <f t="shared" si="115"/>
        <v>0.11828180120356921</v>
      </c>
      <c r="AD32" s="8">
        <f t="shared" si="115"/>
        <v>0.11828180120356922</v>
      </c>
      <c r="AE32" s="8">
        <f t="shared" si="115"/>
        <v>0.11828180120356928</v>
      </c>
      <c r="AF32" s="8">
        <f t="shared" si="115"/>
        <v>0.11828180120356925</v>
      </c>
      <c r="AG32" s="8">
        <f t="shared" si="115"/>
        <v>0.11828180120356929</v>
      </c>
      <c r="AH32" s="8">
        <f t="shared" si="115"/>
        <v>0.11828180120356932</v>
      </c>
      <c r="AI32" s="8">
        <f t="shared" si="115"/>
        <v>0.11828180120356931</v>
      </c>
      <c r="AJ32" s="8">
        <f t="shared" si="115"/>
        <v>0.11828180120356936</v>
      </c>
    </row>
    <row r="33" spans="1:36">
      <c r="A33" s="13" t="s">
        <v>88</v>
      </c>
      <c r="D33" s="8">
        <f t="shared" ref="D33:G33" si="116">D17/D7</f>
        <v>5.176780468037686E-2</v>
      </c>
      <c r="E33" s="8">
        <f t="shared" si="116"/>
        <v>5.9573647680951858E-2</v>
      </c>
      <c r="F33" s="8">
        <f t="shared" si="116"/>
        <v>4.1480337154782235E-2</v>
      </c>
      <c r="G33" s="8">
        <f t="shared" si="116"/>
        <v>2.9097697248185474E-2</v>
      </c>
      <c r="H33" s="8">
        <f t="shared" ref="H33:O33" si="117">H17/H7</f>
        <v>4.6143232759742796E-2</v>
      </c>
      <c r="I33" s="8">
        <f t="shared" si="117"/>
        <v>5.7902177687385287E-2</v>
      </c>
      <c r="J33" s="8">
        <f t="shared" si="117"/>
        <v>-4.8287928633916143E-2</v>
      </c>
      <c r="K33" s="8">
        <f t="shared" si="117"/>
        <v>4.3639529613815807E-2</v>
      </c>
      <c r="L33" s="8">
        <f t="shared" si="117"/>
        <v>4.040901522080724E-2</v>
      </c>
      <c r="M33" s="8">
        <f t="shared" si="117"/>
        <v>3.6369361568133508E-2</v>
      </c>
      <c r="N33" s="8">
        <f t="shared" si="117"/>
        <v>4.1107793770331087E-2</v>
      </c>
      <c r="O33" s="8">
        <f t="shared" si="117"/>
        <v>3.5954505239145958E-2</v>
      </c>
      <c r="P33" s="48">
        <f>P17/P7</f>
        <v>2.5679297126768207E-2</v>
      </c>
      <c r="Q33" s="48">
        <f t="shared" ref="Q33:S33" si="118">Q17/Q7</f>
        <v>3.7900000000000017E-2</v>
      </c>
      <c r="R33" s="48">
        <f t="shared" si="118"/>
        <v>3.7900000000000121E-2</v>
      </c>
      <c r="S33" s="48">
        <f t="shared" si="118"/>
        <v>3.7900000000000066E-2</v>
      </c>
      <c r="W33" s="8">
        <f t="shared" ref="W33:X33" si="119">W17/W7</f>
        <v>4.5164338213898141E-2</v>
      </c>
      <c r="X33" s="8">
        <f t="shared" si="119"/>
        <v>2.4666089863458897E-2</v>
      </c>
      <c r="Y33" s="48">
        <f>Y17/Y7</f>
        <v>3.8412302669826932E-2</v>
      </c>
      <c r="Z33" s="8">
        <f>Z17/Z7</f>
        <v>3.5045602909363906E-2</v>
      </c>
      <c r="AA33" s="8">
        <f t="shared" ref="AA33:AJ33" si="120">AA17/AA7</f>
        <v>3.7900000000000225E-2</v>
      </c>
      <c r="AB33" s="8">
        <f t="shared" si="120"/>
        <v>3.7900000000000045E-2</v>
      </c>
      <c r="AC33" s="8">
        <f t="shared" si="120"/>
        <v>3.79000000000001E-2</v>
      </c>
      <c r="AD33" s="8">
        <f t="shared" si="120"/>
        <v>3.7900000000000079E-2</v>
      </c>
      <c r="AE33" s="8">
        <f t="shared" si="120"/>
        <v>3.7900000000000114E-2</v>
      </c>
      <c r="AF33" s="8">
        <f t="shared" si="120"/>
        <v>3.79000000000001E-2</v>
      </c>
      <c r="AG33" s="8">
        <f t="shared" si="120"/>
        <v>3.7900000000000128E-2</v>
      </c>
      <c r="AH33" s="8">
        <f t="shared" si="120"/>
        <v>3.7900000000000031E-2</v>
      </c>
      <c r="AI33" s="8">
        <f t="shared" si="120"/>
        <v>3.7900000000000059E-2</v>
      </c>
      <c r="AJ33" s="8">
        <f t="shared" si="120"/>
        <v>3.790000000000001E-2</v>
      </c>
    </row>
    <row r="34" spans="1:36">
      <c r="A34" s="13" t="s">
        <v>89</v>
      </c>
      <c r="D34" s="8">
        <f t="shared" ref="D34:G34" si="121">D25/D7</f>
        <v>3.217216376977293E-2</v>
      </c>
      <c r="E34" s="8">
        <f t="shared" si="121"/>
        <v>3.8324887077228156E-2</v>
      </c>
      <c r="F34" s="8">
        <f t="shared" si="121"/>
        <v>2.1654877090278343E-2</v>
      </c>
      <c r="G34" s="8">
        <f t="shared" si="121"/>
        <v>1.7048718082606652E-2</v>
      </c>
      <c r="H34" s="8">
        <f t="shared" ref="H34:O34" si="122">H25/H7</f>
        <v>3.0640668523676879E-2</v>
      </c>
      <c r="I34" s="8">
        <f t="shared" si="122"/>
        <v>3.7563867255320203E-2</v>
      </c>
      <c r="J34" s="8">
        <f t="shared" si="122"/>
        <v>-4.196700304340862E-2</v>
      </c>
      <c r="K34" s="8">
        <f t="shared" si="122"/>
        <v>2.7836748324308852E-2</v>
      </c>
      <c r="L34" s="8">
        <f t="shared" si="122"/>
        <v>2.5047491732920566E-2</v>
      </c>
      <c r="M34" s="8">
        <f t="shared" si="122"/>
        <v>2.1378527007118679E-2</v>
      </c>
      <c r="N34" s="8">
        <f t="shared" si="122"/>
        <v>2.5188271467403413E-2</v>
      </c>
      <c r="O34" s="8">
        <f t="shared" si="122"/>
        <v>2.1809344120750855E-2</v>
      </c>
      <c r="P34" s="8">
        <f>P25/P7</f>
        <v>1.2585230163845449E-2</v>
      </c>
      <c r="Q34" s="8">
        <f t="shared" ref="Q34:S34" si="123">Q25/Q7</f>
        <v>2.2765418000000013E-2</v>
      </c>
      <c r="R34" s="8">
        <f t="shared" si="123"/>
        <v>2.2765418000000089E-2</v>
      </c>
      <c r="S34" s="8">
        <f t="shared" si="123"/>
        <v>2.2765418000000051E-2</v>
      </c>
      <c r="W34" s="8">
        <f t="shared" ref="W34:X34" si="124">W25/W7</f>
        <v>2.7078747462437224E-2</v>
      </c>
      <c r="X34" s="8">
        <f t="shared" si="124"/>
        <v>1.336880983170371E-2</v>
      </c>
      <c r="Y34" s="8">
        <f>Y25/Y7</f>
        <v>2.3321855015428647E-2</v>
      </c>
      <c r="Z34" s="8">
        <f>Z25/Z7</f>
        <v>2.0387625262292756E-2</v>
      </c>
      <c r="AA34" s="8">
        <f t="shared" ref="AA34:AJ34" si="125">AA25/AA7</f>
        <v>2.2765418000000169E-2</v>
      </c>
      <c r="AB34" s="8">
        <f t="shared" si="125"/>
        <v>2.276541800000003E-2</v>
      </c>
      <c r="AC34" s="8">
        <f t="shared" si="125"/>
        <v>2.2765418000000079E-2</v>
      </c>
      <c r="AD34" s="8">
        <f t="shared" si="125"/>
        <v>2.2765418000000058E-2</v>
      </c>
      <c r="AE34" s="8">
        <f t="shared" si="125"/>
        <v>2.2765418000000086E-2</v>
      </c>
      <c r="AF34" s="8">
        <f t="shared" si="125"/>
        <v>2.2765418000000072E-2</v>
      </c>
      <c r="AG34" s="8">
        <f t="shared" si="125"/>
        <v>2.2765418000000096E-2</v>
      </c>
      <c r="AH34" s="8">
        <f t="shared" si="125"/>
        <v>2.2765418000000023E-2</v>
      </c>
      <c r="AI34" s="8">
        <f t="shared" si="125"/>
        <v>2.2765418000000041E-2</v>
      </c>
      <c r="AJ34" s="8">
        <f t="shared" si="125"/>
        <v>2.2765418000000006E-2</v>
      </c>
    </row>
    <row r="35" spans="1:36">
      <c r="A35" s="13" t="s">
        <v>90</v>
      </c>
      <c r="D35" s="49">
        <f t="shared" ref="D35:G35" si="126">D22/D21</f>
        <v>0.25117845117845117</v>
      </c>
      <c r="E35" s="49">
        <f t="shared" si="126"/>
        <v>0.2527443105756359</v>
      </c>
      <c r="F35" s="49">
        <f t="shared" si="126"/>
        <v>0.26013986013986012</v>
      </c>
      <c r="G35" s="49">
        <f t="shared" si="126"/>
        <v>0.17452229299363056</v>
      </c>
      <c r="H35" s="49">
        <f t="shared" ref="H35:O35" si="127">H22/H21</f>
        <v>0.21526157947350882</v>
      </c>
      <c r="I35" s="49">
        <f t="shared" si="127"/>
        <v>0.26398643739404215</v>
      </c>
      <c r="J35" s="49">
        <f t="shared" si="127"/>
        <v>0.23514851485148514</v>
      </c>
      <c r="K35" s="49">
        <f t="shared" si="127"/>
        <v>0.25968253968253968</v>
      </c>
      <c r="L35" s="49">
        <f t="shared" si="127"/>
        <v>0.25599166377214311</v>
      </c>
      <c r="M35" s="49">
        <f t="shared" si="127"/>
        <v>0.25525291828793772</v>
      </c>
      <c r="N35" s="49">
        <f t="shared" si="127"/>
        <v>0.24975157336866513</v>
      </c>
      <c r="O35" s="49">
        <f t="shared" si="127"/>
        <v>0.24325323475046209</v>
      </c>
      <c r="P35" s="49">
        <f>P22/P21</f>
        <v>0.28860759493670884</v>
      </c>
      <c r="Q35" s="49">
        <f t="shared" ref="Q35:S35" si="128">Q22/Q21</f>
        <v>0.24660000000000001</v>
      </c>
      <c r="R35" s="49">
        <f t="shared" si="128"/>
        <v>0.24660000000000004</v>
      </c>
      <c r="S35" s="49">
        <f t="shared" si="128"/>
        <v>0.24660000000000001</v>
      </c>
      <c r="W35" s="8">
        <f t="shared" ref="W35:X35" si="129">W22/W21</f>
        <v>0.24203454894433782</v>
      </c>
      <c r="X35" s="8">
        <f t="shared" si="129"/>
        <v>0.25856751199451677</v>
      </c>
      <c r="Y35" s="8">
        <f>Y22/Y21</f>
        <v>0.25105164235209881</v>
      </c>
      <c r="Z35" s="8">
        <f>Z22/Z21</f>
        <v>0.25300399062978629</v>
      </c>
      <c r="AA35" s="8">
        <f t="shared" ref="AA35:AJ35" si="130">AA22/AA21</f>
        <v>0.24660000000000001</v>
      </c>
      <c r="AB35" s="8">
        <f t="shared" si="130"/>
        <v>0.24660000000000001</v>
      </c>
      <c r="AC35" s="8">
        <f t="shared" si="130"/>
        <v>0.24660000000000001</v>
      </c>
      <c r="AD35" s="8">
        <f t="shared" si="130"/>
        <v>0.24660000000000001</v>
      </c>
      <c r="AE35" s="8">
        <f t="shared" si="130"/>
        <v>0.24660000000000001</v>
      </c>
      <c r="AF35" s="8">
        <f t="shared" si="130"/>
        <v>0.24660000000000001</v>
      </c>
      <c r="AG35" s="8">
        <f t="shared" si="130"/>
        <v>0.24660000000000001</v>
      </c>
      <c r="AH35" s="8">
        <f t="shared" si="130"/>
        <v>0.24659999999999999</v>
      </c>
      <c r="AI35" s="8">
        <f t="shared" si="130"/>
        <v>0.24660000000000001</v>
      </c>
      <c r="AJ35" s="8">
        <f t="shared" si="130"/>
        <v>0.24659999999999999</v>
      </c>
    </row>
  </sheetData>
  <phoneticPr fontId="1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2024-05-30T00:47:36Z</dcterms:modified>
</cp:coreProperties>
</file>