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740" documentId="8_{0544CB43-5078-426C-8C2B-05813B4C7614}" xr6:coauthVersionLast="47" xr6:coauthVersionMax="47" xr10:uidLastSave="{332E7658-6F22-41A0-9D50-BC6BFEC1FA2B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H3" i="1"/>
  <c r="AE3" i="1"/>
  <c r="AC3" i="1"/>
  <c r="AJ7" i="1"/>
  <c r="AI7" i="1"/>
  <c r="AH7" i="1"/>
  <c r="AG7" i="1"/>
  <c r="AF7" i="1"/>
  <c r="AE7" i="1"/>
  <c r="AD7" i="1"/>
  <c r="AC7" i="1"/>
  <c r="AC6" i="1"/>
  <c r="AD6" i="1" s="1"/>
  <c r="AE6" i="1" s="1"/>
  <c r="AF6" i="1" s="1"/>
  <c r="AG6" i="1" s="1"/>
  <c r="AH6" i="1" s="1"/>
  <c r="AI6" i="1" s="1"/>
  <c r="AJ6" i="1" s="1"/>
  <c r="AB6" i="1"/>
  <c r="AM20" i="1"/>
  <c r="AD18" i="1"/>
  <c r="AE18" i="1" s="1"/>
  <c r="AF18" i="1" s="1"/>
  <c r="AG18" i="1" s="1"/>
  <c r="AH18" i="1" s="1"/>
  <c r="AI18" i="1" s="1"/>
  <c r="AJ18" i="1" s="1"/>
  <c r="Z18" i="1"/>
  <c r="S8" i="1"/>
  <c r="S6" i="1"/>
  <c r="S3" i="1"/>
  <c r="S12" i="1" s="1"/>
  <c r="R3" i="1"/>
  <c r="R12" i="1" s="1"/>
  <c r="Q3" i="1"/>
  <c r="Q7" i="1" s="1"/>
  <c r="P3" i="1"/>
  <c r="Z3" i="1" s="1"/>
  <c r="V30" i="1"/>
  <c r="V54" i="1"/>
  <c r="V59" i="1" s="1"/>
  <c r="V61" i="1" s="1"/>
  <c r="V45" i="1"/>
  <c r="V42" i="1"/>
  <c r="V36" i="1"/>
  <c r="V35" i="1"/>
  <c r="W54" i="1"/>
  <c r="W59" i="1" s="1"/>
  <c r="W61" i="1" s="1"/>
  <c r="W45" i="1"/>
  <c r="W42" i="1"/>
  <c r="W36" i="1"/>
  <c r="W35" i="1"/>
  <c r="X54" i="1"/>
  <c r="X59" i="1" s="1"/>
  <c r="X61" i="1" s="1"/>
  <c r="X45" i="1"/>
  <c r="X42" i="1"/>
  <c r="X36" i="1"/>
  <c r="X35" i="1"/>
  <c r="Y54" i="1"/>
  <c r="Y59" i="1" s="1"/>
  <c r="Y61" i="1" s="1"/>
  <c r="Y45" i="1"/>
  <c r="Y42" i="1"/>
  <c r="Y36" i="1"/>
  <c r="Y35" i="1"/>
  <c r="Z12" i="1" s="1"/>
  <c r="AA12" i="1" s="1"/>
  <c r="F54" i="1"/>
  <c r="F59" i="1" s="1"/>
  <c r="F61" i="1" s="1"/>
  <c r="F42" i="1"/>
  <c r="F49" i="1" s="1"/>
  <c r="F36" i="1"/>
  <c r="F35" i="1"/>
  <c r="F34" i="1" s="1"/>
  <c r="E54" i="1"/>
  <c r="E59" i="1" s="1"/>
  <c r="E61" i="1" s="1"/>
  <c r="E42" i="1"/>
  <c r="E49" i="1" s="1"/>
  <c r="E36" i="1"/>
  <c r="E35" i="1"/>
  <c r="D54" i="1"/>
  <c r="D59" i="1" s="1"/>
  <c r="D61" i="1" s="1"/>
  <c r="D42" i="1"/>
  <c r="D49" i="1" s="1"/>
  <c r="D36" i="1"/>
  <c r="D35" i="1"/>
  <c r="C45" i="1"/>
  <c r="C54" i="1"/>
  <c r="C59" i="1" s="1"/>
  <c r="C61" i="1" s="1"/>
  <c r="C42" i="1"/>
  <c r="C36" i="1"/>
  <c r="C35" i="1"/>
  <c r="G45" i="1"/>
  <c r="J36" i="1"/>
  <c r="I36" i="1"/>
  <c r="H36" i="1"/>
  <c r="G36" i="1"/>
  <c r="J35" i="1"/>
  <c r="I35" i="1"/>
  <c r="H35" i="1"/>
  <c r="G35" i="1"/>
  <c r="J54" i="1"/>
  <c r="J59" i="1" s="1"/>
  <c r="J61" i="1" s="1"/>
  <c r="I54" i="1"/>
  <c r="I59" i="1" s="1"/>
  <c r="I61" i="1" s="1"/>
  <c r="H54" i="1"/>
  <c r="H59" i="1" s="1"/>
  <c r="H61" i="1" s="1"/>
  <c r="G54" i="1"/>
  <c r="G59" i="1" s="1"/>
  <c r="G61" i="1" s="1"/>
  <c r="J42" i="1"/>
  <c r="J49" i="1" s="1"/>
  <c r="I42" i="1"/>
  <c r="I49" i="1" s="1"/>
  <c r="H42" i="1"/>
  <c r="H49" i="1" s="1"/>
  <c r="G42" i="1"/>
  <c r="K45" i="1"/>
  <c r="S36" i="1"/>
  <c r="R36" i="1"/>
  <c r="Q36" i="1"/>
  <c r="P36" i="1"/>
  <c r="S35" i="1"/>
  <c r="R35" i="1"/>
  <c r="Q35" i="1"/>
  <c r="P35" i="1"/>
  <c r="N36" i="1"/>
  <c r="M36" i="1"/>
  <c r="L36" i="1"/>
  <c r="K36" i="1"/>
  <c r="N35" i="1"/>
  <c r="M35" i="1"/>
  <c r="L35" i="1"/>
  <c r="K35" i="1"/>
  <c r="O36" i="1"/>
  <c r="O35" i="1"/>
  <c r="N42" i="1"/>
  <c r="N49" i="1" s="1"/>
  <c r="M42" i="1"/>
  <c r="M49" i="1" s="1"/>
  <c r="L42" i="1"/>
  <c r="L49" i="1" s="1"/>
  <c r="K42" i="1"/>
  <c r="S42" i="1"/>
  <c r="S49" i="1" s="1"/>
  <c r="R42" i="1"/>
  <c r="R49" i="1" s="1"/>
  <c r="Q42" i="1"/>
  <c r="Q49" i="1" s="1"/>
  <c r="P42" i="1"/>
  <c r="P49" i="1" s="1"/>
  <c r="N54" i="1"/>
  <c r="N59" i="1" s="1"/>
  <c r="N61" i="1" s="1"/>
  <c r="M54" i="1"/>
  <c r="M59" i="1" s="1"/>
  <c r="M61" i="1" s="1"/>
  <c r="L54" i="1"/>
  <c r="L59" i="1" s="1"/>
  <c r="L61" i="1" s="1"/>
  <c r="K54" i="1"/>
  <c r="K59" i="1" s="1"/>
  <c r="K61" i="1" s="1"/>
  <c r="S54" i="1"/>
  <c r="S59" i="1" s="1"/>
  <c r="S61" i="1" s="1"/>
  <c r="R54" i="1"/>
  <c r="R59" i="1" s="1"/>
  <c r="R61" i="1" s="1"/>
  <c r="Q54" i="1"/>
  <c r="Q59" i="1" s="1"/>
  <c r="Q61" i="1" s="1"/>
  <c r="P54" i="1"/>
  <c r="P59" i="1" s="1"/>
  <c r="P61" i="1" s="1"/>
  <c r="O54" i="1"/>
  <c r="O59" i="1" s="1"/>
  <c r="O61" i="1" s="1"/>
  <c r="O45" i="1"/>
  <c r="O42" i="1"/>
  <c r="W18" i="1"/>
  <c r="W15" i="1"/>
  <c r="W12" i="1"/>
  <c r="W11" i="1"/>
  <c r="W8" i="1"/>
  <c r="W7" i="1"/>
  <c r="W6" i="1"/>
  <c r="W4" i="1"/>
  <c r="W3" i="1"/>
  <c r="X18" i="1"/>
  <c r="X15" i="1"/>
  <c r="X12" i="1"/>
  <c r="X11" i="1"/>
  <c r="X8" i="1"/>
  <c r="X7" i="1"/>
  <c r="X6" i="1"/>
  <c r="X4" i="1"/>
  <c r="X3" i="1"/>
  <c r="Y18" i="1"/>
  <c r="Y15" i="1"/>
  <c r="Y12" i="1"/>
  <c r="Y11" i="1"/>
  <c r="Y8" i="1"/>
  <c r="Y7" i="1"/>
  <c r="Y6" i="1"/>
  <c r="Y4" i="1"/>
  <c r="Y3" i="1"/>
  <c r="D22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O22" i="1"/>
  <c r="O21" i="1"/>
  <c r="C13" i="1"/>
  <c r="C9" i="1"/>
  <c r="C5" i="1"/>
  <c r="C24" i="1" s="1"/>
  <c r="D13" i="1"/>
  <c r="D9" i="1"/>
  <c r="D5" i="1"/>
  <c r="E13" i="1"/>
  <c r="E9" i="1"/>
  <c r="E5" i="1"/>
  <c r="E24" i="1" s="1"/>
  <c r="F13" i="1"/>
  <c r="F9" i="1"/>
  <c r="F5" i="1"/>
  <c r="F24" i="1" s="1"/>
  <c r="G13" i="1"/>
  <c r="G9" i="1"/>
  <c r="G5" i="1"/>
  <c r="G24" i="1" s="1"/>
  <c r="H13" i="1"/>
  <c r="H9" i="1"/>
  <c r="H5" i="1"/>
  <c r="L13" i="1"/>
  <c r="L9" i="1"/>
  <c r="L5" i="1"/>
  <c r="L24" i="1" s="1"/>
  <c r="I13" i="1"/>
  <c r="I9" i="1"/>
  <c r="I5" i="1"/>
  <c r="I24" i="1" s="1"/>
  <c r="M13" i="1"/>
  <c r="M9" i="1"/>
  <c r="M5" i="1"/>
  <c r="M24" i="1" s="1"/>
  <c r="J13" i="1"/>
  <c r="J9" i="1"/>
  <c r="J5" i="1"/>
  <c r="J24" i="1" s="1"/>
  <c r="N13" i="1"/>
  <c r="N9" i="1"/>
  <c r="N5" i="1"/>
  <c r="N24" i="1" s="1"/>
  <c r="K13" i="1"/>
  <c r="K9" i="1"/>
  <c r="K5" i="1"/>
  <c r="K24" i="1" s="1"/>
  <c r="O13" i="1"/>
  <c r="O9" i="1"/>
  <c r="O5" i="1"/>
  <c r="L6" i="2"/>
  <c r="L5" i="2"/>
  <c r="L3" i="2"/>
  <c r="L4" i="2" s="1"/>
  <c r="L8" i="2"/>
  <c r="Q4" i="1" l="1"/>
  <c r="R4" i="1"/>
  <c r="S4" i="1"/>
  <c r="P11" i="1"/>
  <c r="Z11" i="1" s="1"/>
  <c r="S11" i="1"/>
  <c r="S13" i="1" s="1"/>
  <c r="R7" i="1"/>
  <c r="Z21" i="1"/>
  <c r="AA3" i="1"/>
  <c r="AB12" i="1"/>
  <c r="AC12" i="1" s="1"/>
  <c r="AD12" i="1" s="1"/>
  <c r="AE12" i="1" s="1"/>
  <c r="AF12" i="1" s="1"/>
  <c r="AG12" i="1" s="1"/>
  <c r="AH12" i="1" s="1"/>
  <c r="AI12" i="1" s="1"/>
  <c r="AJ12" i="1" s="1"/>
  <c r="X64" i="1"/>
  <c r="S7" i="1"/>
  <c r="S9" i="1" s="1"/>
  <c r="V49" i="1"/>
  <c r="V65" i="1" s="1"/>
  <c r="V31" i="1" s="1"/>
  <c r="P6" i="1"/>
  <c r="P4" i="1"/>
  <c r="Z4" i="1" s="1"/>
  <c r="Q5" i="1"/>
  <c r="Q24" i="1" s="1"/>
  <c r="Q8" i="1"/>
  <c r="R8" i="1"/>
  <c r="P7" i="1"/>
  <c r="P12" i="1"/>
  <c r="P13" i="1" s="1"/>
  <c r="Q11" i="1"/>
  <c r="P8" i="1"/>
  <c r="R11" i="1"/>
  <c r="R13" i="1" s="1"/>
  <c r="Q6" i="1"/>
  <c r="Q12" i="1"/>
  <c r="R6" i="1"/>
  <c r="Y64" i="1"/>
  <c r="W64" i="1"/>
  <c r="W32" i="1" s="1"/>
  <c r="S5" i="1"/>
  <c r="S24" i="1" s="1"/>
  <c r="W49" i="1"/>
  <c r="W65" i="1" s="1"/>
  <c r="V64" i="1"/>
  <c r="V32" i="1" s="1"/>
  <c r="X49" i="1"/>
  <c r="X65" i="1" s="1"/>
  <c r="V34" i="1"/>
  <c r="R5" i="1"/>
  <c r="R24" i="1" s="1"/>
  <c r="H34" i="1"/>
  <c r="S34" i="1"/>
  <c r="Q34" i="1"/>
  <c r="K49" i="1"/>
  <c r="I34" i="1"/>
  <c r="O34" i="1"/>
  <c r="R34" i="1"/>
  <c r="J34" i="1"/>
  <c r="E34" i="1"/>
  <c r="Y49" i="1"/>
  <c r="Y65" i="1" s="1"/>
  <c r="X34" i="1"/>
  <c r="Y34" i="1"/>
  <c r="L34" i="1"/>
  <c r="X13" i="1"/>
  <c r="M34" i="1"/>
  <c r="P34" i="1"/>
  <c r="W34" i="1"/>
  <c r="O49" i="1"/>
  <c r="N34" i="1"/>
  <c r="G49" i="1"/>
  <c r="D34" i="1"/>
  <c r="C34" i="1"/>
  <c r="C49" i="1"/>
  <c r="G34" i="1"/>
  <c r="K34" i="1"/>
  <c r="Y9" i="1"/>
  <c r="Y13" i="1"/>
  <c r="X21" i="1"/>
  <c r="X5" i="1"/>
  <c r="X24" i="1" s="1"/>
  <c r="W9" i="1"/>
  <c r="O10" i="1"/>
  <c r="O14" i="1" s="1"/>
  <c r="W13" i="1"/>
  <c r="Y5" i="1"/>
  <c r="Y24" i="1" s="1"/>
  <c r="Y21" i="1"/>
  <c r="X9" i="1"/>
  <c r="W5" i="1"/>
  <c r="W24" i="1" s="1"/>
  <c r="O24" i="1"/>
  <c r="D24" i="1"/>
  <c r="H24" i="1"/>
  <c r="C10" i="1"/>
  <c r="D10" i="1"/>
  <c r="E10" i="1"/>
  <c r="F10" i="1"/>
  <c r="G10" i="1"/>
  <c r="H10" i="1"/>
  <c r="L10" i="1"/>
  <c r="I10" i="1"/>
  <c r="M10" i="1"/>
  <c r="J10" i="1"/>
  <c r="N10" i="1"/>
  <c r="K10" i="1"/>
  <c r="L7" i="2"/>
  <c r="P5" i="1" l="1"/>
  <c r="V29" i="1"/>
  <c r="P9" i="1"/>
  <c r="Z7" i="1"/>
  <c r="Q9" i="1"/>
  <c r="Q10" i="1" s="1"/>
  <c r="Q25" i="1" s="1"/>
  <c r="AA6" i="1"/>
  <c r="AA8" i="1"/>
  <c r="AA21" i="1"/>
  <c r="AA11" i="1"/>
  <c r="AA13" i="1" s="1"/>
  <c r="AA4" i="1"/>
  <c r="AA5" i="1" s="1"/>
  <c r="AB3" i="1"/>
  <c r="AA7" i="1"/>
  <c r="Z8" i="1"/>
  <c r="Z6" i="1"/>
  <c r="Z5" i="1"/>
  <c r="Z24" i="1" s="1"/>
  <c r="S10" i="1"/>
  <c r="R9" i="1"/>
  <c r="R10" i="1" s="1"/>
  <c r="Q13" i="1"/>
  <c r="P24" i="1"/>
  <c r="P10" i="1"/>
  <c r="O25" i="1"/>
  <c r="D14" i="1"/>
  <c r="W10" i="1"/>
  <c r="W25" i="1" s="1"/>
  <c r="D25" i="1"/>
  <c r="K14" i="1"/>
  <c r="K25" i="1"/>
  <c r="O27" i="1"/>
  <c r="O16" i="1"/>
  <c r="N14" i="1"/>
  <c r="N25" i="1"/>
  <c r="J14" i="1"/>
  <c r="J25" i="1"/>
  <c r="M14" i="1"/>
  <c r="M25" i="1"/>
  <c r="L14" i="1"/>
  <c r="Y10" i="1"/>
  <c r="L25" i="1"/>
  <c r="F14" i="1"/>
  <c r="F25" i="1"/>
  <c r="E14" i="1"/>
  <c r="E25" i="1"/>
  <c r="C14" i="1"/>
  <c r="C25" i="1"/>
  <c r="I14" i="1"/>
  <c r="I25" i="1"/>
  <c r="H14" i="1"/>
  <c r="X10" i="1"/>
  <c r="H25" i="1"/>
  <c r="G14" i="1"/>
  <c r="G25" i="1"/>
  <c r="Q14" i="1" l="1"/>
  <c r="AA24" i="1"/>
  <c r="AA9" i="1"/>
  <c r="AA10" i="1" s="1"/>
  <c r="AB11" i="1"/>
  <c r="AB13" i="1" s="1"/>
  <c r="AB4" i="1"/>
  <c r="AB5" i="1" s="1"/>
  <c r="AB8" i="1"/>
  <c r="AB7" i="1"/>
  <c r="AB21" i="1"/>
  <c r="Z10" i="1"/>
  <c r="Z25" i="1" s="1"/>
  <c r="Z9" i="1"/>
  <c r="Z13" i="1"/>
  <c r="S14" i="1"/>
  <c r="S15" i="1" s="1"/>
  <c r="S25" i="1"/>
  <c r="P14" i="1"/>
  <c r="P25" i="1"/>
  <c r="Q15" i="1"/>
  <c r="Q27" i="1" s="1"/>
  <c r="R14" i="1"/>
  <c r="R25" i="1"/>
  <c r="X25" i="1"/>
  <c r="Y25" i="1"/>
  <c r="H16" i="1"/>
  <c r="H27" i="1"/>
  <c r="X14" i="1"/>
  <c r="X27" i="1" s="1"/>
  <c r="X63" i="1" s="1"/>
  <c r="X32" i="1" s="1"/>
  <c r="N16" i="1"/>
  <c r="N27" i="1"/>
  <c r="O26" i="1"/>
  <c r="O17" i="1"/>
  <c r="F16" i="1"/>
  <c r="F27" i="1"/>
  <c r="C16" i="1"/>
  <c r="C27" i="1"/>
  <c r="G16" i="1"/>
  <c r="G27" i="1"/>
  <c r="M16" i="1"/>
  <c r="M27" i="1"/>
  <c r="E16" i="1"/>
  <c r="E27" i="1"/>
  <c r="D16" i="1"/>
  <c r="D27" i="1"/>
  <c r="W14" i="1"/>
  <c r="W27" i="1" s="1"/>
  <c r="I16" i="1"/>
  <c r="I27" i="1"/>
  <c r="L16" i="1"/>
  <c r="L27" i="1"/>
  <c r="Y14" i="1"/>
  <c r="Y27" i="1" s="1"/>
  <c r="Y63" i="1" s="1"/>
  <c r="Y32" i="1" s="1"/>
  <c r="K16" i="1"/>
  <c r="K27" i="1"/>
  <c r="J16" i="1"/>
  <c r="J27" i="1"/>
  <c r="AA25" i="1" l="1"/>
  <c r="AA14" i="1"/>
  <c r="AB24" i="1"/>
  <c r="Z14" i="1"/>
  <c r="AC8" i="1"/>
  <c r="AC11" i="1"/>
  <c r="AC13" i="1" s="1"/>
  <c r="AC4" i="1"/>
  <c r="AC5" i="1" s="1"/>
  <c r="AC24" i="1" s="1"/>
  <c r="AD3" i="1"/>
  <c r="AC21" i="1"/>
  <c r="AB9" i="1"/>
  <c r="AB10" i="1" s="1"/>
  <c r="S16" i="1"/>
  <c r="S27" i="1"/>
  <c r="Q16" i="1"/>
  <c r="Q17" i="1" s="1"/>
  <c r="R15" i="1"/>
  <c r="R27" i="1" s="1"/>
  <c r="P15" i="1"/>
  <c r="P16" i="1"/>
  <c r="E17" i="1"/>
  <c r="E26" i="1"/>
  <c r="L17" i="1"/>
  <c r="Y16" i="1"/>
  <c r="L26" i="1"/>
  <c r="H17" i="1"/>
  <c r="X16" i="1"/>
  <c r="H26" i="1"/>
  <c r="M17" i="1"/>
  <c r="M26" i="1"/>
  <c r="I17" i="1"/>
  <c r="I26" i="1"/>
  <c r="F17" i="1"/>
  <c r="F26" i="1"/>
  <c r="J17" i="1"/>
  <c r="J26" i="1"/>
  <c r="G17" i="1"/>
  <c r="G26" i="1"/>
  <c r="N17" i="1"/>
  <c r="N26" i="1"/>
  <c r="K17" i="1"/>
  <c r="K26" i="1"/>
  <c r="D17" i="1"/>
  <c r="W16" i="1"/>
  <c r="D26" i="1"/>
  <c r="C17" i="1"/>
  <c r="C26" i="1"/>
  <c r="AB14" i="1" l="1"/>
  <c r="AB25" i="1"/>
  <c r="Q26" i="1"/>
  <c r="AC9" i="1"/>
  <c r="AC10" i="1" s="1"/>
  <c r="AC25" i="1" s="1"/>
  <c r="AD11" i="1"/>
  <c r="AD13" i="1" s="1"/>
  <c r="AD8" i="1"/>
  <c r="AD4" i="1"/>
  <c r="AD5" i="1" s="1"/>
  <c r="AD24" i="1" s="1"/>
  <c r="AD21" i="1"/>
  <c r="Z16" i="1"/>
  <c r="Z26" i="1" s="1"/>
  <c r="AA15" i="1"/>
  <c r="AA27" i="1" s="1"/>
  <c r="P27" i="1"/>
  <c r="Z15" i="1"/>
  <c r="Z27" i="1" s="1"/>
  <c r="S26" i="1"/>
  <c r="S17" i="1"/>
  <c r="R16" i="1"/>
  <c r="R26" i="1" s="1"/>
  <c r="P17" i="1"/>
  <c r="P26" i="1"/>
  <c r="X26" i="1"/>
  <c r="X30" i="1"/>
  <c r="X29" i="1"/>
  <c r="X31" i="1"/>
  <c r="Y26" i="1"/>
  <c r="Y31" i="1"/>
  <c r="Y30" i="1"/>
  <c r="Y29" i="1"/>
  <c r="W26" i="1"/>
  <c r="W29" i="1"/>
  <c r="W30" i="1"/>
  <c r="W31" i="1"/>
  <c r="X17" i="1"/>
  <c r="W17" i="1"/>
  <c r="Y17" i="1"/>
  <c r="AC14" i="1" l="1"/>
  <c r="AD9" i="1"/>
  <c r="AD10" i="1" s="1"/>
  <c r="AD25" i="1" s="1"/>
  <c r="AA16" i="1"/>
  <c r="AF3" i="1"/>
  <c r="AE8" i="1"/>
  <c r="AE21" i="1"/>
  <c r="AE4" i="1"/>
  <c r="AE5" i="1" s="1"/>
  <c r="AE24" i="1" s="1"/>
  <c r="AE9" i="1"/>
  <c r="AE11" i="1"/>
  <c r="AE13" i="1" s="1"/>
  <c r="AC15" i="1"/>
  <c r="AC27" i="1" s="1"/>
  <c r="AB15" i="1"/>
  <c r="AB27" i="1" s="1"/>
  <c r="R17" i="1"/>
  <c r="Z17" i="1" s="1"/>
  <c r="AC16" i="1" l="1"/>
  <c r="AC17" i="1" s="1"/>
  <c r="AD14" i="1"/>
  <c r="AB16" i="1"/>
  <c r="AE10" i="1"/>
  <c r="AG3" i="1"/>
  <c r="AF21" i="1"/>
  <c r="AF11" i="1"/>
  <c r="AF13" i="1" s="1"/>
  <c r="AF8" i="1"/>
  <c r="AF4" i="1"/>
  <c r="AF5" i="1" s="1"/>
  <c r="AF24" i="1" s="1"/>
  <c r="AD15" i="1"/>
  <c r="AD27" i="1" s="1"/>
  <c r="AA26" i="1"/>
  <c r="AA17" i="1"/>
  <c r="AD16" i="1" l="1"/>
  <c r="AC26" i="1"/>
  <c r="AG11" i="1"/>
  <c r="AG13" i="1" s="1"/>
  <c r="AG8" i="1"/>
  <c r="AG9" i="1"/>
  <c r="AG21" i="1"/>
  <c r="AG4" i="1"/>
  <c r="AG5" i="1" s="1"/>
  <c r="AG24" i="1" s="1"/>
  <c r="AF9" i="1"/>
  <c r="AF10" i="1" s="1"/>
  <c r="AE14" i="1"/>
  <c r="AE25" i="1"/>
  <c r="AD17" i="1"/>
  <c r="AD26" i="1"/>
  <c r="AB26" i="1"/>
  <c r="AB17" i="1"/>
  <c r="AE15" i="1" l="1"/>
  <c r="AE27" i="1" s="1"/>
  <c r="AF14" i="1"/>
  <c r="AF25" i="1"/>
  <c r="AG10" i="1"/>
  <c r="AH21" i="1"/>
  <c r="AH4" i="1"/>
  <c r="AH5" i="1" s="1"/>
  <c r="AH24" i="1" s="1"/>
  <c r="AH11" i="1"/>
  <c r="AH13" i="1" s="1"/>
  <c r="AH8" i="1"/>
  <c r="AJ3" i="1" l="1"/>
  <c r="AI11" i="1"/>
  <c r="AI13" i="1" s="1"/>
  <c r="AI8" i="1"/>
  <c r="AI21" i="1"/>
  <c r="AI4" i="1"/>
  <c r="AI5" i="1" s="1"/>
  <c r="AI24" i="1" s="1"/>
  <c r="AI9" i="1"/>
  <c r="AG14" i="1"/>
  <c r="AG25" i="1"/>
  <c r="AH9" i="1"/>
  <c r="AH10" i="1" s="1"/>
  <c r="AF15" i="1"/>
  <c r="AF27" i="1" s="1"/>
  <c r="AE16" i="1"/>
  <c r="AF16" i="1" l="1"/>
  <c r="AF17" i="1" s="1"/>
  <c r="AG15" i="1"/>
  <c r="AG27" i="1" s="1"/>
  <c r="AI10" i="1"/>
  <c r="AH25" i="1"/>
  <c r="AH14" i="1"/>
  <c r="AJ4" i="1"/>
  <c r="AJ5" i="1" s="1"/>
  <c r="AJ24" i="1" s="1"/>
  <c r="AJ8" i="1"/>
  <c r="AJ21" i="1"/>
  <c r="AJ11" i="1"/>
  <c r="AJ13" i="1" s="1"/>
  <c r="AE26" i="1"/>
  <c r="AE17" i="1"/>
  <c r="AF26" i="1"/>
  <c r="AJ9" i="1" l="1"/>
  <c r="AJ10" i="1" s="1"/>
  <c r="AH15" i="1"/>
  <c r="AH27" i="1" s="1"/>
  <c r="AI14" i="1"/>
  <c r="AI25" i="1"/>
  <c r="AG16" i="1"/>
  <c r="AI15" i="1" l="1"/>
  <c r="AI27" i="1" s="1"/>
  <c r="AG17" i="1"/>
  <c r="AG26" i="1"/>
  <c r="AH16" i="1"/>
  <c r="AJ25" i="1"/>
  <c r="AJ14" i="1"/>
  <c r="AI16" i="1" l="1"/>
  <c r="AI26" i="1" s="1"/>
  <c r="AH26" i="1"/>
  <c r="AH17" i="1"/>
  <c r="AJ15" i="1"/>
  <c r="AJ27" i="1" s="1"/>
  <c r="AI17" i="1" l="1"/>
  <c r="AJ16" i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AM19" i="1" s="1"/>
  <c r="AM21" i="1" s="1"/>
  <c r="AM22" i="1" s="1"/>
  <c r="AM23" i="1" s="1"/>
  <c r="AJ17" i="1" l="1"/>
  <c r="AJ26" i="1"/>
</calcChain>
</file>

<file path=xl/sharedStrings.xml><?xml version="1.0" encoding="utf-8"?>
<sst xmlns="http://schemas.openxmlformats.org/spreadsheetml/2006/main" count="115" uniqueCount="107">
  <si>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</si>
  <si>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</si>
  <si>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</si>
  <si>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</si>
  <si>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</si>
  <si>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</si>
  <si>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</si>
  <si>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</si>
  <si>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</si>
  <si>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</si>
  <si>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</si>
  <si>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</si>
  <si>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</si>
  <si>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</si>
  <si>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</si>
  <si>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</si>
  <si>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</si>
  <si>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</si>
  <si>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</si>
  <si>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</si>
  <si>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</si>
  <si>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</si>
  <si>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</si>
  <si>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</si>
  <si>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</si>
  <si>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</si>
  <si>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</si>
  <si>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DATADOG, INC</t>
  </si>
  <si>
    <t>DDOG</t>
  </si>
  <si>
    <t>Alexis Le-Quoc</t>
  </si>
  <si>
    <t>Datadog is a observability and security platform for cloud applications</t>
  </si>
  <si>
    <t>The SaaS platform integrates and automates infrastructure monitoring, application</t>
  </si>
  <si>
    <t>performance monitoring, log management, user experience monitoring, cloud</t>
  </si>
  <si>
    <t>security, and many other capabilities to provide unified, real-time observability</t>
  </si>
  <si>
    <t>and security for customers' entire technology stack.</t>
  </si>
  <si>
    <t>Starting in 2020, they began to develop products in cloud security, and in 2021,</t>
  </si>
  <si>
    <t>they expanded into developer-focused products.</t>
  </si>
  <si>
    <t>Competition:</t>
  </si>
  <si>
    <t xml:space="preserve">With respect to on-premise infrastructure monitoring competition with diversified </t>
  </si>
  <si>
    <t>technology companies and systems management vendors including</t>
  </si>
  <si>
    <t>IBM, Microsoft, and SolarWinds Corporation.</t>
  </si>
  <si>
    <t>With respect to APM:</t>
  </si>
  <si>
    <t>Cisco Systems, Inc., New Relic, Inc. and Dynatrace Software, Inc.</t>
  </si>
  <si>
    <t>With respect to Log Management:</t>
  </si>
  <si>
    <t>Splunk, Inc. and Elastic N.V.</t>
  </si>
  <si>
    <t>With respect to Cloud monitoring:</t>
  </si>
  <si>
    <t>Amazon Web Services (AWS), Microsoft Azure, and Google Cloud Platform (GCP)</t>
  </si>
  <si>
    <t>About: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</si>
  <si>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</si>
  <si>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</si>
  <si>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</si>
  <si>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</si>
  <si>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</si>
  <si>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</si>
  <si>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</si>
  <si>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</si>
  <si>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</si>
  <si>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Interest income and other</t>
  </si>
  <si>
    <t>Other total</t>
  </si>
  <si>
    <t>Pretax</t>
  </si>
  <si>
    <t>Taxes</t>
  </si>
  <si>
    <t>Net income</t>
  </si>
  <si>
    <t>EPS</t>
  </si>
  <si>
    <t>Revenue Y/Y</t>
  </si>
  <si>
    <t>Revenue Q/Q</t>
  </si>
  <si>
    <t>Gross Margin %</t>
  </si>
  <si>
    <t>Operating Margin %</t>
  </si>
  <si>
    <t>Net Margin %</t>
  </si>
  <si>
    <t>Tax Rate %</t>
  </si>
  <si>
    <t>Cash and equivalents</t>
  </si>
  <si>
    <t>Marketable securities</t>
  </si>
  <si>
    <t>A/R</t>
  </si>
  <si>
    <t>Deferred contract cost</t>
  </si>
  <si>
    <t>Prepaids</t>
  </si>
  <si>
    <t>Current assets</t>
  </si>
  <si>
    <t>P&amp;E</t>
  </si>
  <si>
    <t>Leases</t>
  </si>
  <si>
    <t>Goodwill + Intangibles</t>
  </si>
  <si>
    <t>Deferred contract cost, non-current</t>
  </si>
  <si>
    <t>Restricted cash</t>
  </si>
  <si>
    <t>OA</t>
  </si>
  <si>
    <t>Assets</t>
  </si>
  <si>
    <t>A/P</t>
  </si>
  <si>
    <t>Accrued expenses</t>
  </si>
  <si>
    <t>Leases, current</t>
  </si>
  <si>
    <t>Derred revenue</t>
  </si>
  <si>
    <t>Current liabilities</t>
  </si>
  <si>
    <t>Convertible senior notes</t>
  </si>
  <si>
    <t>Deferred revenue, non-current</t>
  </si>
  <si>
    <t>Other liabilities</t>
  </si>
  <si>
    <t>Liabilities</t>
  </si>
  <si>
    <t>SE</t>
  </si>
  <si>
    <t>L+SE</t>
  </si>
  <si>
    <t>Net cash</t>
  </si>
  <si>
    <t>ROA</t>
  </si>
  <si>
    <t>ROCE</t>
  </si>
  <si>
    <t>ROE</t>
  </si>
  <si>
    <t>ROIC</t>
  </si>
  <si>
    <t>NOPAT</t>
  </si>
  <si>
    <t>Invested Capital</t>
  </si>
  <si>
    <t>Capital Employed</t>
  </si>
  <si>
    <t>Maturity</t>
  </si>
  <si>
    <t>Discount</t>
  </si>
  <si>
    <t>NPV</t>
  </si>
  <si>
    <t>Value</t>
  </si>
  <si>
    <t>Per share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</si>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</sst>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3" xfId="0" applyBorder="1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10" fillId="0" borderId="7" xfId="0" applyFont="1" applyBorder="1"/>
    <xf numFmtId="0" fontId="0" fillId="0" borderId="8" xfId="0" applyBorder="1"/>
    <xf numFmtId="0" fontId="11" fillId="0" borderId="7" xfId="0" applyFont="1" applyBorder="1"/>
    <xf numFmtId="0" fontId="10" fillId="0" borderId="9" xfId="0" applyFont="1" applyBorder="1"/>
    <xf numFmtId="0" fontId="0" fillId="0" borderId="10" xfId="0" applyBorder="1"/>
    <xf numFmtId="0" fontId="10" fillId="0" borderId="5" xfId="0" applyFont="1" applyBorder="1"/>
    <xf numFmtId="3" fontId="9" fillId="2" borderId="2" xfId="0" applyNumberFormat="1" applyFont="1" applyFill="1" applyBorder="1"/>
    <xf numFmtId="3" fontId="9" fillId="0" borderId="2" xfId="0" applyNumberFormat="1" applyFont="1" applyBorder="1"/>
    <xf numFmtId="4" fontId="0" fillId="0" borderId="0" xfId="0" applyNumberFormat="1"/>
    <xf numFmtId="3" fontId="12" fillId="2" borderId="3" xfId="0" applyNumberFormat="1" applyFont="1" applyFill="1" applyBorder="1"/>
    <xf numFmtId="3" fontId="12" fillId="0" borderId="3" xfId="0" applyNumberFormat="1" applyFont="1" applyBorder="1"/>
    <xf numFmtId="3" fontId="12" fillId="2" borderId="4" xfId="0" applyNumberFormat="1" applyFont="1" applyFill="1" applyBorder="1"/>
    <xf numFmtId="3" fontId="12" fillId="0" borderId="4" xfId="0" applyNumberFormat="1" applyFont="1" applyBorder="1"/>
    <xf numFmtId="3" fontId="12" fillId="2" borderId="0" xfId="0" applyNumberFormat="1" applyFont="1" applyFill="1"/>
    <xf numFmtId="3" fontId="12" fillId="0" borderId="0" xfId="0" applyNumberFormat="1" applyFont="1"/>
    <xf numFmtId="9" fontId="12" fillId="0" borderId="3" xfId="0" applyNumberFormat="1" applyFont="1" applyBorder="1"/>
    <xf numFmtId="9" fontId="12" fillId="0" borderId="4" xfId="0" applyNumberFormat="1" applyFont="1" applyBorder="1"/>
    <xf numFmtId="9" fontId="12" fillId="0" borderId="0" xfId="0" applyNumberFormat="1" applyFont="1"/>
    <xf numFmtId="3" fontId="13" fillId="2" borderId="0" xfId="0" applyNumberFormat="1" applyFont="1" applyFill="1"/>
    <xf numFmtId="3" fontId="13" fillId="0" borderId="0" xfId="0" applyNumberFormat="1" applyFont="1"/>
    <xf numFmtId="3" fontId="12" fillId="2" borderId="11" xfId="0" applyNumberFormat="1" applyFont="1" applyFill="1" applyBorder="1"/>
    <xf numFmtId="3" fontId="12" fillId="0" borderId="11" xfId="0" applyNumberFormat="1" applyFont="1" applyBorder="1"/>
    <xf numFmtId="1" fontId="0" fillId="0" borderId="0" xfId="0" applyNumberFormat="1"/>
    <xf numFmtId="9" fontId="0" fillId="0" borderId="0" xfId="0" applyNumberFormat="1"/>
    <xf numFmtId="9" fontId="0" fillId="0" borderId="0" xfId="2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2" fillId="0" borderId="4" xfId="0" applyNumberFormat="1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0</xdr:row>
      <xdr:rowOff>180023</xdr:rowOff>
    </xdr:from>
    <xdr:to>
      <xdr:col>15</xdr:col>
      <xdr:colOff>5255</xdr:colOff>
      <xdr:row>100</xdr:row>
      <xdr:rowOff>68318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9A2687-277A-04E5-52C5-F70521D5044F}"/>
            </a:ext>
          </a:extLst>
        </xdr:cNvPr>
        <xdr:cNvCxnSpPr/>
      </xdr:nvCxnSpPr>
      <xdr:spPr>
        <a:xfrm>
          <a:off x="10846183" y="180023"/>
          <a:ext cx="493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25</xdr:col>
      <xdr:colOff>0</xdr:colOff>
      <xdr:row>100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23"/>
  <sheetViews>
    <sheetView workbookViewId="0">
      <selection activeCell="L3" sqref="L3"/>
    </sheetView>
  </sheetViews>
  <sheetFormatPr defaultRowHeight="14.4" x14ac:dyDescent="0.3"/>
  <cols>
    <col min="2" max="2" width="12.88671875" customWidth="1"/>
    <col min="12" max="12" width="13.88671875" customWidth="1"/>
    <col min="13" max="13" width="9.109375" customWidth="1"/>
  </cols>
  <sheetData>
    <row r="1" spans="2:13" ht="21" x14ac:dyDescent="0.4">
      <c r="B1" s="8" t="s">
        <v>17</v>
      </c>
      <c r="K1" s="41" t="s">
        <v>28</v>
      </c>
      <c r="L1" s="41"/>
    </row>
    <row r="2" spans="2:13" ht="22.8" x14ac:dyDescent="0.3">
      <c r="B2" s="42" t="s">
        <v>27</v>
      </c>
      <c r="C2" s="42"/>
      <c r="D2" s="42"/>
      <c r="E2" s="42"/>
      <c r="F2" s="42"/>
      <c r="G2" s="42"/>
      <c r="H2" s="42"/>
      <c r="I2" s="42"/>
      <c r="K2" s="1" t="s">
        <v>0</v>
      </c>
      <c r="L2" s="4">
        <v>118.97</v>
      </c>
    </row>
    <row r="3" spans="2:13" x14ac:dyDescent="0.3">
      <c r="K3" s="1" t="s">
        <v>1</v>
      </c>
      <c r="L3" s="2">
        <f>305.92991+25.944197</f>
        <v>331.87410699999998</v>
      </c>
      <c r="M3" t="s">
        <v>9</v>
      </c>
    </row>
    <row r="4" spans="2:13" ht="15.6" x14ac:dyDescent="0.3">
      <c r="B4" s="11" t="s">
        <v>47</v>
      </c>
      <c r="K4" s="1" t="s">
        <v>2</v>
      </c>
      <c r="L4" s="2">
        <f>L3*L2</f>
        <v>39483.062509789997</v>
      </c>
    </row>
    <row r="5" spans="2:13" ht="15.6" x14ac:dyDescent="0.3">
      <c r="B5" s="21" t="s">
        <v>30</v>
      </c>
      <c r="C5" s="12"/>
      <c r="D5" s="12"/>
      <c r="E5" s="12"/>
      <c r="F5" s="12"/>
      <c r="G5" s="12"/>
      <c r="H5" s="12"/>
      <c r="I5" s="15"/>
      <c r="K5" s="1" t="s">
        <v>3</v>
      </c>
      <c r="L5" s="2">
        <f>330.339+2252.559</f>
        <v>2582.8980000000001</v>
      </c>
      <c r="M5" t="s">
        <v>9</v>
      </c>
    </row>
    <row r="6" spans="2:13" ht="15.6" x14ac:dyDescent="0.3">
      <c r="B6" s="16" t="s">
        <v>31</v>
      </c>
      <c r="I6" s="17"/>
      <c r="K6" s="1" t="s">
        <v>4</v>
      </c>
      <c r="L6" s="2">
        <f>138.128+742.235</f>
        <v>880.36300000000006</v>
      </c>
      <c r="M6" t="s">
        <v>9</v>
      </c>
    </row>
    <row r="7" spans="2:13" ht="15.6" x14ac:dyDescent="0.3">
      <c r="B7" s="16" t="s">
        <v>32</v>
      </c>
      <c r="I7" s="17"/>
      <c r="K7" s="1" t="s">
        <v>5</v>
      </c>
      <c r="L7" s="2">
        <f>L4-L5+L6</f>
        <v>37780.527509789994</v>
      </c>
    </row>
    <row r="8" spans="2:13" ht="15.6" x14ac:dyDescent="0.3">
      <c r="B8" s="16" t="s">
        <v>33</v>
      </c>
      <c r="I8" s="17"/>
      <c r="K8" s="1" t="s">
        <v>6</v>
      </c>
      <c r="L8" s="2">
        <f>L5-L6</f>
        <v>1702.5350000000001</v>
      </c>
    </row>
    <row r="9" spans="2:13" ht="15.6" x14ac:dyDescent="0.3">
      <c r="B9" s="19" t="s">
        <v>34</v>
      </c>
      <c r="C9" s="14"/>
      <c r="D9" s="14"/>
      <c r="E9" s="14"/>
      <c r="F9" s="14"/>
      <c r="G9" s="14"/>
      <c r="H9" s="14"/>
      <c r="I9" s="20"/>
      <c r="K9" s="1"/>
      <c r="L9" s="1"/>
    </row>
    <row r="10" spans="2:13" ht="15.6" x14ac:dyDescent="0.3">
      <c r="B10" s="10"/>
      <c r="K10" s="1" t="s">
        <v>7</v>
      </c>
      <c r="L10" s="1" t="s">
        <v>29</v>
      </c>
    </row>
    <row r="11" spans="2:13" ht="15.6" x14ac:dyDescent="0.3">
      <c r="B11" s="21" t="s">
        <v>35</v>
      </c>
      <c r="C11" s="12"/>
      <c r="D11" s="12"/>
      <c r="E11" s="12"/>
      <c r="F11" s="12"/>
      <c r="G11" s="12"/>
      <c r="H11" s="12"/>
      <c r="I11" s="15"/>
    </row>
    <row r="12" spans="2:13" ht="15.6" x14ac:dyDescent="0.3">
      <c r="B12" s="19" t="s">
        <v>36</v>
      </c>
      <c r="C12" s="14"/>
      <c r="D12" s="14"/>
      <c r="E12" s="14"/>
      <c r="F12" s="14"/>
      <c r="G12" s="14"/>
      <c r="H12" s="14"/>
      <c r="I12" s="20"/>
    </row>
    <row r="14" spans="2:13" ht="15.6" x14ac:dyDescent="0.3">
      <c r="B14" s="11" t="s">
        <v>37</v>
      </c>
    </row>
    <row r="15" spans="2:13" ht="15.6" x14ac:dyDescent="0.3">
      <c r="B15" s="21" t="s">
        <v>38</v>
      </c>
      <c r="C15" s="12"/>
      <c r="D15" s="12"/>
      <c r="E15" s="12"/>
      <c r="F15" s="12"/>
      <c r="G15" s="12"/>
      <c r="H15" s="12"/>
      <c r="I15" s="15"/>
    </row>
    <row r="16" spans="2:13" ht="15.6" x14ac:dyDescent="0.3">
      <c r="B16" s="16" t="s">
        <v>39</v>
      </c>
      <c r="I16" s="17"/>
    </row>
    <row r="17" spans="2:9" ht="15.6" x14ac:dyDescent="0.3">
      <c r="B17" s="16" t="s">
        <v>40</v>
      </c>
      <c r="F17" s="13"/>
      <c r="I17" s="17"/>
    </row>
    <row r="18" spans="2:9" ht="15.6" x14ac:dyDescent="0.3">
      <c r="B18" s="18" t="s">
        <v>41</v>
      </c>
      <c r="I18" s="17"/>
    </row>
    <row r="19" spans="2:9" ht="15.6" x14ac:dyDescent="0.3">
      <c r="B19" s="16" t="s">
        <v>42</v>
      </c>
      <c r="I19" s="17"/>
    </row>
    <row r="20" spans="2:9" ht="15.6" x14ac:dyDescent="0.3">
      <c r="B20" s="18" t="s">
        <v>43</v>
      </c>
      <c r="I20" s="17"/>
    </row>
    <row r="21" spans="2:9" ht="15.6" x14ac:dyDescent="0.3">
      <c r="B21" s="16" t="s">
        <v>44</v>
      </c>
      <c r="I21" s="17"/>
    </row>
    <row r="22" spans="2:9" ht="15.6" x14ac:dyDescent="0.3">
      <c r="B22" s="18" t="s">
        <v>45</v>
      </c>
      <c r="I22" s="17"/>
    </row>
    <row r="23" spans="2:9" ht="15.6" x14ac:dyDescent="0.3">
      <c r="B23" s="19" t="s">
        <v>46</v>
      </c>
      <c r="C23" s="14"/>
      <c r="D23" s="14"/>
      <c r="E23" s="14"/>
      <c r="F23" s="14"/>
      <c r="G23" s="14"/>
      <c r="H23" s="14"/>
      <c r="I23" s="20"/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FV65"/>
  <sheetViews>
    <sheetView tabSelected="1" zoomScale="145" zoomScaleNormal="145" workbookViewId="0">
      <pane xSplit="1" ySplit="2" topLeftCell="X3" activePane="bottomRight" state="frozen"/>
      <selection pane="topRight" activeCell="C1" sqref="C1"/>
      <selection pane="bottomLeft" activeCell="A3" sqref="A3"/>
      <selection pane="bottomRight" activeCell="AE12" sqref="AE12"/>
    </sheetView>
  </sheetViews>
  <sheetFormatPr defaultRowHeight="14.4" x14ac:dyDescent="0.3"/>
  <cols>
    <col min="1" max="1" width="34.5546875" style="6" customWidth="1"/>
    <col min="25" max="25" width="10.6640625" bestFit="1" customWidth="1"/>
  </cols>
  <sheetData>
    <row r="1" spans="1:178" s="6" customFormat="1" ht="21" x14ac:dyDescent="0.4">
      <c r="A1" s="7" t="s">
        <v>16</v>
      </c>
    </row>
    <row r="2" spans="1:178" s="9" customFormat="1" x14ac:dyDescent="0.3">
      <c r="C2" s="9" t="s">
        <v>22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14</v>
      </c>
      <c r="I2" s="9" t="s">
        <v>15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8</v>
      </c>
      <c r="O2" s="9" t="s">
        <v>9</v>
      </c>
      <c r="P2" s="9" t="s">
        <v>23</v>
      </c>
      <c r="Q2" s="9" t="s">
        <v>24</v>
      </c>
      <c r="R2" s="9" t="s">
        <v>25</v>
      </c>
      <c r="S2" s="9" t="s">
        <v>26</v>
      </c>
      <c r="U2" s="9">
        <v>2019</v>
      </c>
      <c r="V2" s="9">
        <v>2020</v>
      </c>
      <c r="W2" s="9">
        <v>2021</v>
      </c>
      <c r="X2" s="9">
        <v>2022</v>
      </c>
      <c r="Y2" s="9">
        <v>2023</v>
      </c>
      <c r="Z2" s="9">
        <v>2024</v>
      </c>
      <c r="AA2" s="9">
        <v>2025</v>
      </c>
      <c r="AB2" s="9">
        <v>2026</v>
      </c>
      <c r="AC2" s="9">
        <v>2027</v>
      </c>
      <c r="AD2" s="9">
        <v>2028</v>
      </c>
      <c r="AE2" s="9">
        <v>2029</v>
      </c>
      <c r="AF2" s="9">
        <v>2030</v>
      </c>
      <c r="AG2" s="9">
        <v>2031</v>
      </c>
      <c r="AH2" s="9">
        <v>2032</v>
      </c>
      <c r="AI2" s="9">
        <v>2033</v>
      </c>
      <c r="AJ2" s="9">
        <v>2034</v>
      </c>
      <c r="AK2" s="9">
        <v>2035</v>
      </c>
      <c r="AL2" s="9">
        <v>2036</v>
      </c>
      <c r="AM2" s="9">
        <v>2037</v>
      </c>
      <c r="AN2" s="9">
        <v>2038</v>
      </c>
      <c r="AO2" s="9">
        <v>2039</v>
      </c>
      <c r="AP2" s="9">
        <v>2040</v>
      </c>
      <c r="AQ2" s="9">
        <v>2041</v>
      </c>
      <c r="AR2" s="9">
        <v>2042</v>
      </c>
    </row>
    <row r="3" spans="1:178" s="23" customFormat="1" x14ac:dyDescent="0.3">
      <c r="A3" s="22" t="s">
        <v>48</v>
      </c>
      <c r="C3" s="23">
        <v>177.53100000000001</v>
      </c>
      <c r="D3" s="23">
        <v>198.54900000000001</v>
      </c>
      <c r="E3" s="23">
        <v>233.54900000000001</v>
      </c>
      <c r="F3" s="23">
        <v>270.488</v>
      </c>
      <c r="G3" s="23">
        <v>326.19799999999998</v>
      </c>
      <c r="H3" s="23">
        <v>363.03</v>
      </c>
      <c r="I3" s="23">
        <v>406.13799999999998</v>
      </c>
      <c r="J3" s="23">
        <v>436.53300000000002</v>
      </c>
      <c r="K3" s="23">
        <v>469.399</v>
      </c>
      <c r="L3" s="23">
        <v>481.714</v>
      </c>
      <c r="M3" s="23">
        <v>509.46</v>
      </c>
      <c r="N3" s="23">
        <v>547.53599999999994</v>
      </c>
      <c r="O3" s="23">
        <v>589.649</v>
      </c>
      <c r="P3" s="23">
        <f>L3*1.227</f>
        <v>591.06307800000002</v>
      </c>
      <c r="Q3" s="23">
        <f>M3*1.218</f>
        <v>620.52227999999991</v>
      </c>
      <c r="R3" s="23">
        <f>N3*1.218</f>
        <v>666.89884799999993</v>
      </c>
      <c r="S3" s="23">
        <f>O3*1.218</f>
        <v>718.19248200000004</v>
      </c>
      <c r="W3" s="23">
        <f>SUM(D3:G3)</f>
        <v>1028.7840000000001</v>
      </c>
      <c r="X3" s="23">
        <f>SUM(H3:K3)</f>
        <v>1675.1</v>
      </c>
      <c r="Y3" s="23">
        <f>SUM(L3:O3)</f>
        <v>2128.3589999999999</v>
      </c>
      <c r="Z3" s="23">
        <f>SUM(P3:S3)</f>
        <v>2596.6766879999996</v>
      </c>
      <c r="AA3" s="23">
        <f>Z3*1.2</f>
        <v>3116.0120255999996</v>
      </c>
      <c r="AB3" s="23">
        <f>AA3*1.18</f>
        <v>3676.8941902079991</v>
      </c>
      <c r="AC3" s="23">
        <f>AB3*1.17</f>
        <v>4301.966202543359</v>
      </c>
      <c r="AD3" s="23">
        <f>AC3*1.18</f>
        <v>5076.3201190011632</v>
      </c>
      <c r="AE3" s="23">
        <f>AD3*1.15</f>
        <v>5837.7681368513377</v>
      </c>
      <c r="AF3" s="23">
        <f>AE3*1.15</f>
        <v>6713.4333573790382</v>
      </c>
      <c r="AG3" s="23">
        <f>AF3*1.11</f>
        <v>7451.9110266907328</v>
      </c>
      <c r="AH3" s="23">
        <f>AG3*1.11</f>
        <v>8271.6212396267147</v>
      </c>
      <c r="AI3" s="23">
        <f>AH3*1.11</f>
        <v>9181.4995759856538</v>
      </c>
      <c r="AJ3" s="23">
        <f>AI3*1.025</f>
        <v>9411.0370653852951</v>
      </c>
    </row>
    <row r="4" spans="1:178" s="3" customFormat="1" x14ac:dyDescent="0.3">
      <c r="A4" s="5" t="s">
        <v>49</v>
      </c>
      <c r="C4" s="3">
        <v>40.856000000000002</v>
      </c>
      <c r="D4" s="3">
        <v>46.665999999999997</v>
      </c>
      <c r="E4" s="3">
        <v>57.097999999999999</v>
      </c>
      <c r="F4" s="3">
        <v>63.332000000000001</v>
      </c>
      <c r="G4" s="3">
        <v>67.149000000000001</v>
      </c>
      <c r="H4" s="3">
        <v>74.462000000000003</v>
      </c>
      <c r="I4" s="3">
        <v>81.924999999999997</v>
      </c>
      <c r="J4" s="3">
        <v>93.599000000000004</v>
      </c>
      <c r="K4" s="3">
        <v>96.757000000000005</v>
      </c>
      <c r="L4" s="3">
        <v>99.914000000000001</v>
      </c>
      <c r="M4" s="3">
        <v>101.846</v>
      </c>
      <c r="N4" s="3">
        <v>103.319</v>
      </c>
      <c r="O4" s="3">
        <v>104.82899999999999</v>
      </c>
      <c r="P4" s="3">
        <f>P3*0.1935</f>
        <v>114.37070559300001</v>
      </c>
      <c r="Q4" s="3">
        <f>Q3*0.1935</f>
        <v>120.07106117999999</v>
      </c>
      <c r="R4" s="3">
        <f>R3*0.1935</f>
        <v>129.04492708799998</v>
      </c>
      <c r="S4" s="3">
        <f>S3*0.1935</f>
        <v>138.97024526700002</v>
      </c>
      <c r="W4" s="3">
        <f>SUM(E4:H4)</f>
        <v>262.041</v>
      </c>
      <c r="X4" s="3">
        <f>SUM(H4:K4)</f>
        <v>346.74299999999999</v>
      </c>
      <c r="Y4" s="3">
        <f>SUM(L4:O4)</f>
        <v>409.90800000000002</v>
      </c>
      <c r="Z4" s="3">
        <f>SUM(P4:S4)</f>
        <v>502.45693912799993</v>
      </c>
      <c r="AA4" s="3">
        <f t="shared" ref="AA4:AJ4" si="0">AA3*0.1935</f>
        <v>602.94832695359992</v>
      </c>
      <c r="AB4" s="3">
        <f t="shared" si="0"/>
        <v>711.47902580524783</v>
      </c>
      <c r="AC4" s="3">
        <f t="shared" si="0"/>
        <v>832.43046019214</v>
      </c>
      <c r="AD4" s="3">
        <f t="shared" si="0"/>
        <v>982.26794302672511</v>
      </c>
      <c r="AE4" s="3">
        <f t="shared" si="0"/>
        <v>1129.608134480734</v>
      </c>
      <c r="AF4" s="3">
        <f t="shared" si="0"/>
        <v>1299.0493546528439</v>
      </c>
      <c r="AG4" s="3">
        <f t="shared" si="0"/>
        <v>1441.9447836646568</v>
      </c>
      <c r="AH4" s="3">
        <f t="shared" si="0"/>
        <v>1600.5587098677693</v>
      </c>
      <c r="AI4" s="3">
        <f t="shared" si="0"/>
        <v>1776.6201679532242</v>
      </c>
      <c r="AJ4" s="3">
        <f t="shared" si="0"/>
        <v>1821.0356721520548</v>
      </c>
    </row>
    <row r="5" spans="1:178" s="23" customFormat="1" x14ac:dyDescent="0.3">
      <c r="A5" s="22" t="s">
        <v>50</v>
      </c>
      <c r="C5" s="23">
        <f t="shared" ref="C5:O5" si="1">C3-C4</f>
        <v>136.67500000000001</v>
      </c>
      <c r="D5" s="23">
        <f t="shared" si="1"/>
        <v>151.88300000000001</v>
      </c>
      <c r="E5" s="23">
        <f t="shared" si="1"/>
        <v>176.45100000000002</v>
      </c>
      <c r="F5" s="23">
        <f t="shared" si="1"/>
        <v>207.15600000000001</v>
      </c>
      <c r="G5" s="23">
        <f t="shared" si="1"/>
        <v>259.04899999999998</v>
      </c>
      <c r="H5" s="23">
        <f t="shared" si="1"/>
        <v>288.56799999999998</v>
      </c>
      <c r="I5" s="23">
        <f t="shared" si="1"/>
        <v>324.21299999999997</v>
      </c>
      <c r="J5" s="23">
        <f t="shared" si="1"/>
        <v>342.93400000000003</v>
      </c>
      <c r="K5" s="23">
        <f t="shared" si="1"/>
        <v>372.642</v>
      </c>
      <c r="L5" s="23">
        <f t="shared" si="1"/>
        <v>381.8</v>
      </c>
      <c r="M5" s="23">
        <f t="shared" si="1"/>
        <v>407.61399999999998</v>
      </c>
      <c r="N5" s="23">
        <f t="shared" si="1"/>
        <v>444.21699999999993</v>
      </c>
      <c r="O5" s="23">
        <f t="shared" si="1"/>
        <v>484.82</v>
      </c>
      <c r="P5" s="23">
        <f t="shared" ref="P5:S5" si="2">P3-P4</f>
        <v>476.69237240699999</v>
      </c>
      <c r="Q5" s="23">
        <f t="shared" si="2"/>
        <v>500.45121881999989</v>
      </c>
      <c r="R5" s="23">
        <f t="shared" si="2"/>
        <v>537.85392091199992</v>
      </c>
      <c r="S5" s="23">
        <f t="shared" si="2"/>
        <v>579.22223673300005</v>
      </c>
      <c r="W5" s="23">
        <f>SUM(D5:G5)</f>
        <v>794.53899999999999</v>
      </c>
      <c r="X5" s="23">
        <f>SUM(H5:K5)</f>
        <v>1328.357</v>
      </c>
      <c r="Y5" s="23">
        <f>SUM(L5:O5)</f>
        <v>1718.4509999999998</v>
      </c>
      <c r="Z5" s="23">
        <f>SUM(P5:S5)</f>
        <v>2094.2197488719999</v>
      </c>
      <c r="AA5" s="23">
        <f t="shared" ref="AA5" si="3">AA3-AA4</f>
        <v>2513.0636986463996</v>
      </c>
      <c r="AB5" s="23">
        <f t="shared" ref="AB5" si="4">AB3-AB4</f>
        <v>2965.4151644027515</v>
      </c>
      <c r="AC5" s="23">
        <f t="shared" ref="AC5" si="5">AC3-AC4</f>
        <v>3469.5357423512191</v>
      </c>
      <c r="AD5" s="23">
        <f t="shared" ref="AD5" si="6">AD3-AD4</f>
        <v>4094.0521759744379</v>
      </c>
      <c r="AE5" s="23">
        <f t="shared" ref="AE5" si="7">AE3-AE4</f>
        <v>4708.1600023706033</v>
      </c>
      <c r="AF5" s="23">
        <f t="shared" ref="AF5" si="8">AF3-AF4</f>
        <v>5414.384002726194</v>
      </c>
      <c r="AG5" s="23">
        <f t="shared" ref="AG5" si="9">AG3-AG4</f>
        <v>6009.966243026076</v>
      </c>
      <c r="AH5" s="23">
        <f t="shared" ref="AH5" si="10">AH3-AH4</f>
        <v>6671.0625297589449</v>
      </c>
      <c r="AI5" s="23">
        <f t="shared" ref="AI5" si="11">AI3-AI4</f>
        <v>7404.8794080324296</v>
      </c>
      <c r="AJ5" s="23">
        <f t="shared" ref="AJ5" si="12">AJ3-AJ4</f>
        <v>7590.0013932332404</v>
      </c>
    </row>
    <row r="6" spans="1:178" s="3" customFormat="1" x14ac:dyDescent="0.3">
      <c r="A6" s="5" t="s">
        <v>51</v>
      </c>
      <c r="C6" s="3">
        <v>67.697999999999993</v>
      </c>
      <c r="D6" s="3">
        <v>79.266000000000005</v>
      </c>
      <c r="E6" s="3">
        <v>94.778999999999996</v>
      </c>
      <c r="F6" s="3">
        <v>112.675</v>
      </c>
      <c r="G6" s="3">
        <v>133.04900000000001</v>
      </c>
      <c r="H6" s="3">
        <v>150.608</v>
      </c>
      <c r="I6" s="3">
        <v>177.69900000000001</v>
      </c>
      <c r="J6" s="3">
        <v>205.38800000000001</v>
      </c>
      <c r="K6" s="3">
        <v>218.65600000000001</v>
      </c>
      <c r="L6" s="3">
        <v>229.47800000000001</v>
      </c>
      <c r="M6" s="3">
        <v>239.494</v>
      </c>
      <c r="N6" s="3">
        <v>240.22499999999999</v>
      </c>
      <c r="O6" s="3">
        <v>253.25</v>
      </c>
      <c r="P6" s="3">
        <f>P3*0.4319</f>
        <v>255.2801433882</v>
      </c>
      <c r="Q6" s="3">
        <f t="shared" ref="Q6:R6" si="13">Q3*0.4319</f>
        <v>268.00357273199995</v>
      </c>
      <c r="R6" s="3">
        <f t="shared" si="13"/>
        <v>288.03361245119999</v>
      </c>
      <c r="S6" s="3">
        <f t="shared" ref="S6" si="14">S3*0.4319</f>
        <v>310.18733297580002</v>
      </c>
      <c r="W6" s="3">
        <f t="shared" ref="W6:W9" si="15">SUM(E6:H6)</f>
        <v>491.11100000000005</v>
      </c>
      <c r="X6" s="3">
        <f t="shared" ref="X6:X9" si="16">SUM(H6:K6)</f>
        <v>752.35100000000011</v>
      </c>
      <c r="Y6" s="3">
        <f t="shared" ref="Y6:Y9" si="17">SUM(L6:O6)</f>
        <v>962.447</v>
      </c>
      <c r="Z6" s="3">
        <f t="shared" ref="Z6:Z9" si="18">SUM(P6:S6)</f>
        <v>1121.5046615471999</v>
      </c>
      <c r="AA6" s="3">
        <f t="shared" ref="AA6" si="19">AA3*0.4319</f>
        <v>1345.8055938566399</v>
      </c>
      <c r="AB6" s="3">
        <f>AA6*0.9</f>
        <v>1211.225034470976</v>
      </c>
      <c r="AC6" s="3">
        <f t="shared" ref="AC6:AJ6" si="20">AB6*0.9</f>
        <v>1090.1025310238783</v>
      </c>
      <c r="AD6" s="3">
        <f t="shared" si="20"/>
        <v>981.09227792149056</v>
      </c>
      <c r="AE6" s="3">
        <f t="shared" si="20"/>
        <v>882.98305012934156</v>
      </c>
      <c r="AF6" s="3">
        <f t="shared" si="20"/>
        <v>794.68474511640738</v>
      </c>
      <c r="AG6" s="3">
        <f t="shared" si="20"/>
        <v>715.21627060476669</v>
      </c>
      <c r="AH6" s="3">
        <f t="shared" si="20"/>
        <v>643.69464354428999</v>
      </c>
      <c r="AI6" s="3">
        <f t="shared" si="20"/>
        <v>579.32517918986105</v>
      </c>
      <c r="AJ6" s="3">
        <f t="shared" si="20"/>
        <v>521.39266127087501</v>
      </c>
    </row>
    <row r="7" spans="1:178" s="3" customFormat="1" x14ac:dyDescent="0.3">
      <c r="A7" s="5" t="s">
        <v>52</v>
      </c>
      <c r="C7" s="3">
        <v>60.033999999999999</v>
      </c>
      <c r="D7" s="3">
        <v>64.352999999999994</v>
      </c>
      <c r="E7" s="3">
        <v>70.412000000000006</v>
      </c>
      <c r="F7" s="3">
        <v>75.826999999999998</v>
      </c>
      <c r="G7" s="3">
        <v>88.905000000000001</v>
      </c>
      <c r="H7" s="3">
        <v>101.166</v>
      </c>
      <c r="I7" s="3">
        <v>115.27</v>
      </c>
      <c r="J7" s="3">
        <v>129.49299999999999</v>
      </c>
      <c r="K7" s="3">
        <v>149.35900000000001</v>
      </c>
      <c r="L7" s="3">
        <v>144.971</v>
      </c>
      <c r="M7" s="3">
        <v>147.45500000000001</v>
      </c>
      <c r="N7" s="3">
        <v>156.87</v>
      </c>
      <c r="O7" s="3">
        <v>159.97999999999999</v>
      </c>
      <c r="P7" s="3">
        <f>P3*0.2878</f>
        <v>170.1079538484</v>
      </c>
      <c r="Q7" s="3">
        <f t="shared" ref="Q7:R7" si="21">Q3*0.2878</f>
        <v>178.58631218399998</v>
      </c>
      <c r="R7" s="3">
        <f t="shared" si="21"/>
        <v>191.93348845439999</v>
      </c>
      <c r="S7" s="3">
        <f t="shared" ref="S7" si="22">S3*0.2878</f>
        <v>206.69579631960002</v>
      </c>
      <c r="W7" s="3">
        <f t="shared" si="15"/>
        <v>336.31</v>
      </c>
      <c r="X7" s="3">
        <f t="shared" si="16"/>
        <v>495.28800000000001</v>
      </c>
      <c r="Y7" s="3">
        <f t="shared" si="17"/>
        <v>609.27600000000007</v>
      </c>
      <c r="Z7" s="3">
        <f t="shared" si="18"/>
        <v>747.32355080640002</v>
      </c>
      <c r="AA7" s="3">
        <f t="shared" ref="AA7:AB7" si="23">AA3*0.2878</f>
        <v>896.78826096767989</v>
      </c>
      <c r="AB7" s="3">
        <f t="shared" si="23"/>
        <v>1058.2101479418623</v>
      </c>
      <c r="AC7" s="3">
        <f t="shared" ref="AC7:AJ7" si="24">AB7*0.95</f>
        <v>1005.2996405447691</v>
      </c>
      <c r="AD7" s="3">
        <f t="shared" si="24"/>
        <v>955.0346585175306</v>
      </c>
      <c r="AE7" s="3">
        <f t="shared" si="24"/>
        <v>907.28292559165402</v>
      </c>
      <c r="AF7" s="3">
        <f t="shared" si="24"/>
        <v>861.91877931207125</v>
      </c>
      <c r="AG7" s="3">
        <f t="shared" si="24"/>
        <v>818.82284034646761</v>
      </c>
      <c r="AH7" s="3">
        <f t="shared" si="24"/>
        <v>777.88169832914423</v>
      </c>
      <c r="AI7" s="3">
        <f t="shared" si="24"/>
        <v>738.98761341268698</v>
      </c>
      <c r="AJ7" s="3">
        <f t="shared" si="24"/>
        <v>702.03823274205263</v>
      </c>
    </row>
    <row r="8" spans="1:178" s="3" customFormat="1" x14ac:dyDescent="0.3">
      <c r="A8" s="5" t="s">
        <v>53</v>
      </c>
      <c r="C8" s="3">
        <v>17.881</v>
      </c>
      <c r="D8" s="3">
        <v>21.094000000000001</v>
      </c>
      <c r="E8" s="3">
        <v>21.146000000000001</v>
      </c>
      <c r="F8" s="3">
        <v>23.548999999999999</v>
      </c>
      <c r="G8" s="3">
        <v>28.64</v>
      </c>
      <c r="H8" s="3">
        <v>26.38</v>
      </c>
      <c r="I8" s="3">
        <v>34.383000000000003</v>
      </c>
      <c r="J8" s="3">
        <v>39.395000000000003</v>
      </c>
      <c r="K8" s="3">
        <v>39.255000000000003</v>
      </c>
      <c r="L8" s="3">
        <v>42.320999999999998</v>
      </c>
      <c r="M8" s="3">
        <v>42.670999999999999</v>
      </c>
      <c r="N8" s="3">
        <v>51.351999999999997</v>
      </c>
      <c r="O8" s="3">
        <v>43.847999999999999</v>
      </c>
      <c r="P8" s="3">
        <f>P3*0.0846</f>
        <v>50.003936398800001</v>
      </c>
      <c r="Q8" s="3">
        <f t="shared" ref="Q8:R8" si="25">Q3*0.0846</f>
        <v>52.496184887999988</v>
      </c>
      <c r="R8" s="3">
        <f t="shared" si="25"/>
        <v>56.419642540799991</v>
      </c>
      <c r="S8" s="3">
        <f t="shared" ref="S8" si="26">S3*0.0846</f>
        <v>60.7590839772</v>
      </c>
      <c r="W8" s="3">
        <f t="shared" si="15"/>
        <v>99.715000000000003</v>
      </c>
      <c r="X8" s="3">
        <f t="shared" si="16"/>
        <v>139.41300000000001</v>
      </c>
      <c r="Y8" s="3">
        <f t="shared" si="17"/>
        <v>180.19200000000001</v>
      </c>
      <c r="Z8" s="3">
        <f t="shared" si="18"/>
        <v>219.67884780479997</v>
      </c>
      <c r="AA8" s="3">
        <f t="shared" ref="AA8:AJ8" si="27">AA3*0.0846</f>
        <v>263.61461736575995</v>
      </c>
      <c r="AB8" s="3">
        <f t="shared" si="27"/>
        <v>311.06524849159672</v>
      </c>
      <c r="AC8" s="3">
        <f t="shared" si="27"/>
        <v>363.94634073516818</v>
      </c>
      <c r="AD8" s="3">
        <f t="shared" si="27"/>
        <v>429.45668206749838</v>
      </c>
      <c r="AE8" s="3">
        <f t="shared" si="27"/>
        <v>493.87518437762316</v>
      </c>
      <c r="AF8" s="3">
        <f t="shared" si="27"/>
        <v>567.95646203426656</v>
      </c>
      <c r="AG8" s="3">
        <f t="shared" si="27"/>
        <v>630.43167285803599</v>
      </c>
      <c r="AH8" s="3">
        <f t="shared" si="27"/>
        <v>699.77915687242</v>
      </c>
      <c r="AI8" s="3">
        <f t="shared" si="27"/>
        <v>776.75486412838632</v>
      </c>
      <c r="AJ8" s="3">
        <f t="shared" si="27"/>
        <v>796.17373573159591</v>
      </c>
    </row>
    <row r="9" spans="1:178" s="3" customFormat="1" x14ac:dyDescent="0.3">
      <c r="A9" s="5" t="s">
        <v>54</v>
      </c>
      <c r="C9" s="3">
        <f t="shared" ref="C9:S9" si="28">SUM(C6:C8)</f>
        <v>145.613</v>
      </c>
      <c r="D9" s="3">
        <f t="shared" si="28"/>
        <v>164.71299999999999</v>
      </c>
      <c r="E9" s="3">
        <f t="shared" si="28"/>
        <v>186.33699999999999</v>
      </c>
      <c r="F9" s="3">
        <f t="shared" si="28"/>
        <v>212.05100000000002</v>
      </c>
      <c r="G9" s="3">
        <f t="shared" si="28"/>
        <v>250.59399999999999</v>
      </c>
      <c r="H9" s="3">
        <f t="shared" si="28"/>
        <v>278.154</v>
      </c>
      <c r="I9" s="3">
        <f t="shared" si="28"/>
        <v>327.35199999999998</v>
      </c>
      <c r="J9" s="3">
        <f t="shared" si="28"/>
        <v>374.27599999999995</v>
      </c>
      <c r="K9" s="3">
        <f t="shared" si="28"/>
        <v>407.27</v>
      </c>
      <c r="L9" s="3">
        <f t="shared" si="28"/>
        <v>416.77</v>
      </c>
      <c r="M9" s="3">
        <f t="shared" si="28"/>
        <v>429.62</v>
      </c>
      <c r="N9" s="3">
        <f t="shared" si="28"/>
        <v>448.447</v>
      </c>
      <c r="O9" s="3">
        <f t="shared" si="28"/>
        <v>457.07800000000003</v>
      </c>
      <c r="P9" s="3">
        <f t="shared" si="28"/>
        <v>475.39203363540003</v>
      </c>
      <c r="Q9" s="3">
        <f t="shared" si="28"/>
        <v>499.08606980399998</v>
      </c>
      <c r="R9" s="3">
        <f t="shared" si="28"/>
        <v>536.38674344639992</v>
      </c>
      <c r="S9" s="3">
        <f t="shared" si="28"/>
        <v>577.64221327260009</v>
      </c>
      <c r="W9" s="3">
        <f t="shared" si="15"/>
        <v>927.13599999999997</v>
      </c>
      <c r="X9" s="3">
        <f t="shared" si="16"/>
        <v>1387.0519999999999</v>
      </c>
      <c r="Y9" s="3">
        <f t="shared" si="17"/>
        <v>1751.915</v>
      </c>
      <c r="Z9" s="3">
        <f t="shared" si="18"/>
        <v>2088.5070601584002</v>
      </c>
      <c r="AA9" s="3">
        <f t="shared" ref="AA9:AJ9" si="29">SUM(AA6:AA8)</f>
        <v>2506.2084721900796</v>
      </c>
      <c r="AB9" s="3">
        <f t="shared" si="29"/>
        <v>2580.5004309044348</v>
      </c>
      <c r="AC9" s="3">
        <f t="shared" si="29"/>
        <v>2459.3485123038158</v>
      </c>
      <c r="AD9" s="3">
        <f t="shared" si="29"/>
        <v>2365.5836185065195</v>
      </c>
      <c r="AE9" s="3">
        <f t="shared" si="29"/>
        <v>2284.1411600986189</v>
      </c>
      <c r="AF9" s="3">
        <f t="shared" si="29"/>
        <v>2224.5599864627452</v>
      </c>
      <c r="AG9" s="3">
        <f t="shared" si="29"/>
        <v>2164.4707838092704</v>
      </c>
      <c r="AH9" s="3">
        <f t="shared" si="29"/>
        <v>2121.3554987458542</v>
      </c>
      <c r="AI9" s="3">
        <f t="shared" si="29"/>
        <v>2095.0676567309347</v>
      </c>
      <c r="AJ9" s="3">
        <f t="shared" si="29"/>
        <v>2019.6046297445237</v>
      </c>
    </row>
    <row r="10" spans="1:178" s="23" customFormat="1" x14ac:dyDescent="0.3">
      <c r="A10" s="22" t="s">
        <v>55</v>
      </c>
      <c r="C10" s="23">
        <f t="shared" ref="C10:O10" si="30">C5-C9</f>
        <v>-8.9379999999999882</v>
      </c>
      <c r="D10" s="23">
        <f t="shared" si="30"/>
        <v>-12.829999999999984</v>
      </c>
      <c r="E10" s="23">
        <f t="shared" si="30"/>
        <v>-9.8859999999999673</v>
      </c>
      <c r="F10" s="23">
        <f t="shared" si="30"/>
        <v>-4.8950000000000102</v>
      </c>
      <c r="G10" s="23">
        <f t="shared" si="30"/>
        <v>8.4549999999999841</v>
      </c>
      <c r="H10" s="23">
        <f t="shared" si="30"/>
        <v>10.413999999999987</v>
      </c>
      <c r="I10" s="23">
        <f t="shared" si="30"/>
        <v>-3.13900000000001</v>
      </c>
      <c r="J10" s="23">
        <f t="shared" si="30"/>
        <v>-31.341999999999928</v>
      </c>
      <c r="K10" s="23">
        <f t="shared" si="30"/>
        <v>-34.627999999999986</v>
      </c>
      <c r="L10" s="23">
        <f t="shared" si="30"/>
        <v>-34.96999999999997</v>
      </c>
      <c r="M10" s="23">
        <f t="shared" si="30"/>
        <v>-22.006000000000029</v>
      </c>
      <c r="N10" s="23">
        <f t="shared" si="30"/>
        <v>-4.230000000000075</v>
      </c>
      <c r="O10" s="23">
        <f t="shared" si="30"/>
        <v>27.741999999999962</v>
      </c>
      <c r="P10" s="23">
        <f t="shared" ref="P10:S10" si="31">P5-P9</f>
        <v>1.3003387715999679</v>
      </c>
      <c r="Q10" s="23">
        <f t="shared" si="31"/>
        <v>1.3651490159999184</v>
      </c>
      <c r="R10" s="23">
        <f t="shared" si="31"/>
        <v>1.4671774656000025</v>
      </c>
      <c r="S10" s="23">
        <f t="shared" si="31"/>
        <v>1.580023460399957</v>
      </c>
      <c r="W10" s="23">
        <f>SUM(D10:G10)</f>
        <v>-19.155999999999977</v>
      </c>
      <c r="X10" s="23">
        <f>SUM(H10:K10)</f>
        <v>-58.694999999999936</v>
      </c>
      <c r="Y10" s="23">
        <f>SUM(L10:O10)</f>
        <v>-33.464000000000112</v>
      </c>
      <c r="Z10" s="23">
        <f>SUM(P10:S10)</f>
        <v>5.7126887135998459</v>
      </c>
      <c r="AA10" s="23">
        <f t="shared" ref="AA10" si="32">AA5-AA9</f>
        <v>6.8552264563199969</v>
      </c>
      <c r="AB10" s="23">
        <f t="shared" ref="AB10" si="33">AB5-AB9</f>
        <v>384.91473349831676</v>
      </c>
      <c r="AC10" s="23">
        <f t="shared" ref="AC10" si="34">AC5-AC9</f>
        <v>1010.1872300474033</v>
      </c>
      <c r="AD10" s="23">
        <f t="shared" ref="AD10" si="35">AD5-AD9</f>
        <v>1728.4685574679183</v>
      </c>
      <c r="AE10" s="23">
        <f t="shared" ref="AE10" si="36">AE5-AE9</f>
        <v>2424.0188422719843</v>
      </c>
      <c r="AF10" s="23">
        <f t="shared" ref="AF10" si="37">AF5-AF9</f>
        <v>3189.8240162634488</v>
      </c>
      <c r="AG10" s="23">
        <f t="shared" ref="AG10" si="38">AG5-AG9</f>
        <v>3845.4954592168056</v>
      </c>
      <c r="AH10" s="23">
        <f t="shared" ref="AH10" si="39">AH5-AH9</f>
        <v>4549.7070310130912</v>
      </c>
      <c r="AI10" s="23">
        <f t="shared" ref="AI10" si="40">AI5-AI9</f>
        <v>5309.811751301495</v>
      </c>
      <c r="AJ10" s="23">
        <f t="shared" ref="AJ10" si="41">AJ5-AJ9</f>
        <v>5570.3967634887167</v>
      </c>
    </row>
    <row r="11" spans="1:178" s="3" customFormat="1" x14ac:dyDescent="0.3">
      <c r="A11" s="5" t="s">
        <v>56</v>
      </c>
      <c r="C11" s="3">
        <v>13.01</v>
      </c>
      <c r="D11" s="3">
        <v>5.4720000000000004</v>
      </c>
      <c r="E11" s="3">
        <v>5.0640000000000001</v>
      </c>
      <c r="F11" s="3">
        <v>4.9119999999999999</v>
      </c>
      <c r="G11" s="3">
        <v>5.6040000000000001</v>
      </c>
      <c r="H11" s="3">
        <v>5.2469999999999999</v>
      </c>
      <c r="I11" s="3">
        <v>4.5410000000000004</v>
      </c>
      <c r="J11" s="3">
        <v>3.7280000000000002</v>
      </c>
      <c r="K11" s="3">
        <v>3.0190000000000001</v>
      </c>
      <c r="L11" s="3">
        <v>2.181</v>
      </c>
      <c r="M11" s="3">
        <v>1.526</v>
      </c>
      <c r="N11" s="3">
        <v>1.3029999999999999</v>
      </c>
      <c r="O11" s="3">
        <v>1.292</v>
      </c>
      <c r="P11" s="3">
        <f>P3*0.0066</f>
        <v>3.9010163148000001</v>
      </c>
      <c r="Q11" s="3">
        <f t="shared" ref="Q11:R11" si="42">Q3*0.0066</f>
        <v>4.0954470479999996</v>
      </c>
      <c r="R11" s="3">
        <f t="shared" si="42"/>
        <v>4.4015323967999995</v>
      </c>
      <c r="S11" s="3">
        <f t="shared" ref="S11" si="43">S3*0.0066</f>
        <v>4.7400703812000007</v>
      </c>
      <c r="W11" s="3">
        <f t="shared" ref="W11:W13" si="44">SUM(E11:H11)</f>
        <v>20.826999999999998</v>
      </c>
      <c r="X11" s="3">
        <f t="shared" ref="X11:X13" si="45">SUM(H11:K11)</f>
        <v>16.535</v>
      </c>
      <c r="Y11" s="3">
        <f t="shared" ref="Y11:Y13" si="46">SUM(L11:O11)</f>
        <v>6.3019999999999996</v>
      </c>
      <c r="Z11" s="3">
        <f t="shared" ref="Z11:Z13" si="47">SUM(P11:S11)</f>
        <v>17.138066140799999</v>
      </c>
      <c r="AA11" s="3">
        <f t="shared" ref="AA11:AJ11" si="48">AA3*0.0066</f>
        <v>20.565679368959998</v>
      </c>
      <c r="AB11" s="3">
        <f t="shared" si="48"/>
        <v>24.267501655372794</v>
      </c>
      <c r="AC11" s="3">
        <f t="shared" si="48"/>
        <v>28.39297693678617</v>
      </c>
      <c r="AD11" s="3">
        <f t="shared" si="48"/>
        <v>33.503712785407679</v>
      </c>
      <c r="AE11" s="3">
        <f t="shared" si="48"/>
        <v>38.52926970321883</v>
      </c>
      <c r="AF11" s="3">
        <f t="shared" si="48"/>
        <v>44.308660158701649</v>
      </c>
      <c r="AG11" s="3">
        <f t="shared" si="48"/>
        <v>49.182612776158834</v>
      </c>
      <c r="AH11" s="3">
        <f t="shared" si="48"/>
        <v>54.592700181536316</v>
      </c>
      <c r="AI11" s="3">
        <f t="shared" si="48"/>
        <v>60.597897201505312</v>
      </c>
      <c r="AJ11" s="3">
        <f t="shared" si="48"/>
        <v>62.112844631542949</v>
      </c>
    </row>
    <row r="12" spans="1:178" s="3" customFormat="1" x14ac:dyDescent="0.3">
      <c r="A12" s="5" t="s">
        <v>57</v>
      </c>
      <c r="C12" s="3">
        <v>6.7809999999999997</v>
      </c>
      <c r="D12" s="3">
        <v>5.7729999999999997</v>
      </c>
      <c r="E12" s="3">
        <v>5.2919999999999998</v>
      </c>
      <c r="F12" s="3">
        <v>5.04</v>
      </c>
      <c r="G12" s="3">
        <v>5.681</v>
      </c>
      <c r="H12" s="3">
        <v>5.6870000000000003</v>
      </c>
      <c r="I12" s="3">
        <v>7.6689999999999996</v>
      </c>
      <c r="J12" s="3">
        <v>12.010999999999999</v>
      </c>
      <c r="K12" s="3">
        <v>11.792999999999999</v>
      </c>
      <c r="L12" s="3">
        <v>16.727</v>
      </c>
      <c r="M12" s="3">
        <v>22.623999999999999</v>
      </c>
      <c r="N12" s="3">
        <v>29.832999999999998</v>
      </c>
      <c r="O12" s="3">
        <v>30.817</v>
      </c>
      <c r="P12" s="3">
        <f>P3*0.0309</f>
        <v>18.263849110200002</v>
      </c>
      <c r="Q12" s="3">
        <f t="shared" ref="Q12:R12" si="49">Q3*0.0309</f>
        <v>19.174138451999998</v>
      </c>
      <c r="R12" s="3">
        <f t="shared" si="49"/>
        <v>20.607174403199998</v>
      </c>
      <c r="S12" s="3">
        <f t="shared" ref="S12" si="50">S3*0.0309</f>
        <v>22.192147693800003</v>
      </c>
      <c r="W12" s="3">
        <f t="shared" si="44"/>
        <v>21.700000000000003</v>
      </c>
      <c r="X12" s="3">
        <f t="shared" si="45"/>
        <v>37.159999999999997</v>
      </c>
      <c r="Y12" s="3">
        <f t="shared" si="46"/>
        <v>100.001</v>
      </c>
      <c r="Z12" s="3">
        <f>Y35*0.05</f>
        <v>129.14490000000001</v>
      </c>
      <c r="AA12" s="3">
        <f t="shared" ref="AA12:AJ12" si="51">Z12*1.05</f>
        <v>135.60214500000001</v>
      </c>
      <c r="AB12" s="3">
        <f t="shared" si="51"/>
        <v>142.38225225000002</v>
      </c>
      <c r="AC12" s="3">
        <f t="shared" si="51"/>
        <v>149.50136486250003</v>
      </c>
      <c r="AD12" s="3">
        <f t="shared" si="51"/>
        <v>156.97643310562503</v>
      </c>
      <c r="AE12" s="3">
        <f t="shared" si="51"/>
        <v>164.82525476090629</v>
      </c>
      <c r="AF12" s="3">
        <f t="shared" si="51"/>
        <v>173.06651749895161</v>
      </c>
      <c r="AG12" s="3">
        <f t="shared" si="51"/>
        <v>181.71984337389921</v>
      </c>
      <c r="AH12" s="3">
        <f t="shared" si="51"/>
        <v>190.80583554259417</v>
      </c>
      <c r="AI12" s="3">
        <f t="shared" si="51"/>
        <v>200.34612731972388</v>
      </c>
      <c r="AJ12" s="3">
        <f t="shared" si="51"/>
        <v>210.36343368571008</v>
      </c>
    </row>
    <row r="13" spans="1:178" s="3" customFormat="1" x14ac:dyDescent="0.3">
      <c r="A13" s="5" t="s">
        <v>58</v>
      </c>
      <c r="C13" s="3">
        <f t="shared" ref="C13:S13" si="52">C12-C11</f>
        <v>-6.2290000000000001</v>
      </c>
      <c r="D13" s="3">
        <f t="shared" si="52"/>
        <v>0.30099999999999927</v>
      </c>
      <c r="E13" s="3">
        <f t="shared" si="52"/>
        <v>0.22799999999999976</v>
      </c>
      <c r="F13" s="3">
        <f t="shared" si="52"/>
        <v>0.12800000000000011</v>
      </c>
      <c r="G13" s="3">
        <f t="shared" si="52"/>
        <v>7.6999999999999957E-2</v>
      </c>
      <c r="H13" s="3">
        <f t="shared" si="52"/>
        <v>0.44000000000000039</v>
      </c>
      <c r="I13" s="3">
        <f t="shared" si="52"/>
        <v>3.1279999999999992</v>
      </c>
      <c r="J13" s="3">
        <f t="shared" si="52"/>
        <v>8.2829999999999995</v>
      </c>
      <c r="K13" s="3">
        <f t="shared" si="52"/>
        <v>8.7739999999999991</v>
      </c>
      <c r="L13" s="3">
        <f t="shared" si="52"/>
        <v>14.545999999999999</v>
      </c>
      <c r="M13" s="3">
        <f t="shared" si="52"/>
        <v>21.097999999999999</v>
      </c>
      <c r="N13" s="3">
        <f t="shared" si="52"/>
        <v>28.529999999999998</v>
      </c>
      <c r="O13" s="3">
        <f t="shared" si="52"/>
        <v>29.524999999999999</v>
      </c>
      <c r="P13" s="3">
        <f t="shared" si="52"/>
        <v>14.362832795400003</v>
      </c>
      <c r="Q13" s="3">
        <f t="shared" si="52"/>
        <v>15.078691403999997</v>
      </c>
      <c r="R13" s="3">
        <f t="shared" si="52"/>
        <v>16.205642006399998</v>
      </c>
      <c r="S13" s="3">
        <f t="shared" si="52"/>
        <v>17.452077312600004</v>
      </c>
      <c r="W13" s="3">
        <f t="shared" si="44"/>
        <v>0.87300000000000022</v>
      </c>
      <c r="X13" s="3">
        <f t="shared" si="45"/>
        <v>20.625</v>
      </c>
      <c r="Y13" s="3">
        <f t="shared" si="46"/>
        <v>93.698999999999984</v>
      </c>
      <c r="Z13" s="3">
        <f t="shared" si="47"/>
        <v>63.099243518400002</v>
      </c>
      <c r="AA13" s="3">
        <f t="shared" ref="AA13:AJ13" si="53">AA12-AA11</f>
        <v>115.03646563104002</v>
      </c>
      <c r="AB13" s="3">
        <f t="shared" si="53"/>
        <v>118.11475059462722</v>
      </c>
      <c r="AC13" s="3">
        <f t="shared" si="53"/>
        <v>121.10838792571386</v>
      </c>
      <c r="AD13" s="3">
        <f t="shared" si="53"/>
        <v>123.47272032021735</v>
      </c>
      <c r="AE13" s="3">
        <f t="shared" si="53"/>
        <v>126.29598505768746</v>
      </c>
      <c r="AF13" s="3">
        <f t="shared" si="53"/>
        <v>128.75785734024996</v>
      </c>
      <c r="AG13" s="3">
        <f t="shared" si="53"/>
        <v>132.53723059774038</v>
      </c>
      <c r="AH13" s="3">
        <f t="shared" si="53"/>
        <v>136.21313536105785</v>
      </c>
      <c r="AI13" s="3">
        <f t="shared" si="53"/>
        <v>139.74823011821857</v>
      </c>
      <c r="AJ13" s="3">
        <f t="shared" si="53"/>
        <v>148.25058905416714</v>
      </c>
    </row>
    <row r="14" spans="1:178" s="23" customFormat="1" x14ac:dyDescent="0.3">
      <c r="A14" s="22" t="s">
        <v>59</v>
      </c>
      <c r="C14" s="23">
        <f t="shared" ref="C14:O14" si="54">C10+C13</f>
        <v>-15.166999999999987</v>
      </c>
      <c r="D14" s="23">
        <f t="shared" si="54"/>
        <v>-12.528999999999986</v>
      </c>
      <c r="E14" s="23">
        <f t="shared" si="54"/>
        <v>-9.6579999999999675</v>
      </c>
      <c r="F14" s="23">
        <f t="shared" si="54"/>
        <v>-4.7670000000000101</v>
      </c>
      <c r="G14" s="23">
        <f t="shared" si="54"/>
        <v>8.531999999999984</v>
      </c>
      <c r="H14" s="23">
        <f t="shared" si="54"/>
        <v>10.853999999999989</v>
      </c>
      <c r="I14" s="23">
        <f t="shared" si="54"/>
        <v>-1.1000000000010779E-2</v>
      </c>
      <c r="J14" s="23">
        <f t="shared" si="54"/>
        <v>-23.058999999999926</v>
      </c>
      <c r="K14" s="23">
        <f t="shared" si="54"/>
        <v>-25.853999999999985</v>
      </c>
      <c r="L14" s="23">
        <f t="shared" si="54"/>
        <v>-20.423999999999971</v>
      </c>
      <c r="M14" s="23">
        <f t="shared" si="54"/>
        <v>-0.90800000000002967</v>
      </c>
      <c r="N14" s="23">
        <f t="shared" si="54"/>
        <v>24.299999999999923</v>
      </c>
      <c r="O14" s="23">
        <f t="shared" si="54"/>
        <v>57.26699999999996</v>
      </c>
      <c r="P14" s="23">
        <f t="shared" ref="P14:S14" si="55">P10+P13</f>
        <v>15.663171566999971</v>
      </c>
      <c r="Q14" s="23">
        <f t="shared" si="55"/>
        <v>16.443840419999916</v>
      </c>
      <c r="R14" s="23">
        <f t="shared" si="55"/>
        <v>17.672819472</v>
      </c>
      <c r="S14" s="23">
        <f t="shared" si="55"/>
        <v>19.032100772999961</v>
      </c>
      <c r="W14" s="23">
        <f>SUM(D14:G14)</f>
        <v>-18.421999999999983</v>
      </c>
      <c r="X14" s="23">
        <f>SUM(H14:K14)</f>
        <v>-38.069999999999936</v>
      </c>
      <c r="Y14" s="23">
        <f>SUM(L14:O14)</f>
        <v>60.234999999999886</v>
      </c>
      <c r="Z14" s="23">
        <f>SUM(P14:S14)</f>
        <v>68.811932231999847</v>
      </c>
      <c r="AA14" s="23">
        <f t="shared" ref="AA14" si="56">AA10+AA13</f>
        <v>121.89169208736001</v>
      </c>
      <c r="AB14" s="23">
        <f t="shared" ref="AB14" si="57">AB10+AB13</f>
        <v>503.02948409294402</v>
      </c>
      <c r="AC14" s="23">
        <f t="shared" ref="AC14" si="58">AC10+AC13</f>
        <v>1131.2956179731173</v>
      </c>
      <c r="AD14" s="23">
        <f t="shared" ref="AD14" si="59">AD10+AD13</f>
        <v>1851.9412777881357</v>
      </c>
      <c r="AE14" s="23">
        <f t="shared" ref="AE14" si="60">AE10+AE13</f>
        <v>2550.314827329672</v>
      </c>
      <c r="AF14" s="23">
        <f t="shared" ref="AF14" si="61">AF10+AF13</f>
        <v>3318.5818736036986</v>
      </c>
      <c r="AG14" s="23">
        <f t="shared" ref="AG14" si="62">AG10+AG13</f>
        <v>3978.0326898145458</v>
      </c>
      <c r="AH14" s="23">
        <f t="shared" ref="AH14" si="63">AH10+AH13</f>
        <v>4685.9201663741487</v>
      </c>
      <c r="AI14" s="23">
        <f t="shared" ref="AI14" si="64">AI10+AI13</f>
        <v>5449.5599814197139</v>
      </c>
      <c r="AJ14" s="23">
        <f t="shared" ref="AJ14" si="65">AJ10+AJ13</f>
        <v>5718.6473525428837</v>
      </c>
    </row>
    <row r="15" spans="1:178" s="3" customFormat="1" x14ac:dyDescent="0.3">
      <c r="A15" s="5" t="s">
        <v>60</v>
      </c>
      <c r="C15" s="3">
        <v>0.99299999999999999</v>
      </c>
      <c r="D15" s="3">
        <v>0.53900000000000003</v>
      </c>
      <c r="E15" s="3">
        <v>-0.29599999999999999</v>
      </c>
      <c r="F15" s="3">
        <v>0.71699999999999997</v>
      </c>
      <c r="G15" s="3">
        <v>1.363</v>
      </c>
      <c r="H15" s="3">
        <v>1.1160000000000001</v>
      </c>
      <c r="I15" s="3">
        <v>4.8680000000000003</v>
      </c>
      <c r="J15" s="3">
        <v>2.9260000000000002</v>
      </c>
      <c r="K15" s="3">
        <v>3.18</v>
      </c>
      <c r="L15" s="3">
        <v>3.6619999999999999</v>
      </c>
      <c r="M15" s="3">
        <v>3.0609999999999999</v>
      </c>
      <c r="N15" s="3">
        <v>1.67</v>
      </c>
      <c r="O15" s="3">
        <v>3.274</v>
      </c>
      <c r="P15" s="3">
        <f>P14*0.06</f>
        <v>0.93979029401999825</v>
      </c>
      <c r="Q15" s="3">
        <f>Q14*0.06</f>
        <v>0.98663042519999489</v>
      </c>
      <c r="R15" s="3">
        <f>R14*0.06</f>
        <v>1.0603691683200001</v>
      </c>
      <c r="S15" s="3">
        <f>S14*0.06</f>
        <v>1.1419260463799976</v>
      </c>
      <c r="W15" s="3">
        <f>SUM(E15:H15)</f>
        <v>2.9000000000000004</v>
      </c>
      <c r="X15" s="3">
        <f>SUM(H15:K15)</f>
        <v>12.09</v>
      </c>
      <c r="Y15" s="3">
        <f>SUM(L15:O15)</f>
        <v>11.667000000000002</v>
      </c>
      <c r="Z15" s="3">
        <f>SUM(P15:S15)</f>
        <v>4.1287159339199908</v>
      </c>
      <c r="AA15" s="3">
        <f t="shared" ref="AA15" si="66">AA14*0.06</f>
        <v>7.3135015252416009</v>
      </c>
      <c r="AB15" s="3">
        <f>AB14*0.1</f>
        <v>50.302948409294402</v>
      </c>
      <c r="AC15" s="3">
        <f>AC14*0.15</f>
        <v>169.69434269596758</v>
      </c>
      <c r="AD15" s="3">
        <f>AD14*0.21</f>
        <v>388.9076683355085</v>
      </c>
      <c r="AE15" s="3">
        <f t="shared" ref="AE15" si="67">AE14*0.21</f>
        <v>535.56611373923113</v>
      </c>
      <c r="AF15" s="3">
        <f>AF14*0.23</f>
        <v>763.27383092885066</v>
      </c>
      <c r="AG15" s="3">
        <f>AG14*0.23</f>
        <v>914.94751865734554</v>
      </c>
      <c r="AH15" s="3">
        <f>AH14*0.23</f>
        <v>1077.7616382660542</v>
      </c>
      <c r="AI15" s="3">
        <f>AI14*0.23</f>
        <v>1253.3987957265342</v>
      </c>
      <c r="AJ15" s="3">
        <f>AJ14*0.23</f>
        <v>1315.2888910848633</v>
      </c>
    </row>
    <row r="16" spans="1:178" s="23" customFormat="1" x14ac:dyDescent="0.3">
      <c r="A16" s="22" t="s">
        <v>61</v>
      </c>
      <c r="C16" s="23">
        <f t="shared" ref="C16:O16" si="68">C14-C15</f>
        <v>-16.159999999999986</v>
      </c>
      <c r="D16" s="23">
        <f t="shared" si="68"/>
        <v>-13.067999999999985</v>
      </c>
      <c r="E16" s="23">
        <f t="shared" si="68"/>
        <v>-9.3619999999999681</v>
      </c>
      <c r="F16" s="23">
        <f t="shared" si="68"/>
        <v>-5.4840000000000098</v>
      </c>
      <c r="G16" s="23">
        <f t="shared" si="68"/>
        <v>7.1689999999999845</v>
      </c>
      <c r="H16" s="23">
        <f t="shared" si="68"/>
        <v>9.7379999999999889</v>
      </c>
      <c r="I16" s="23">
        <f t="shared" si="68"/>
        <v>-4.8790000000000111</v>
      </c>
      <c r="J16" s="23">
        <f t="shared" si="68"/>
        <v>-25.984999999999928</v>
      </c>
      <c r="K16" s="23">
        <f t="shared" si="68"/>
        <v>-29.033999999999985</v>
      </c>
      <c r="L16" s="23">
        <f t="shared" si="68"/>
        <v>-24.08599999999997</v>
      </c>
      <c r="M16" s="23">
        <f t="shared" si="68"/>
        <v>-3.9690000000000296</v>
      </c>
      <c r="N16" s="23">
        <f t="shared" si="68"/>
        <v>22.629999999999924</v>
      </c>
      <c r="O16" s="23">
        <f t="shared" si="68"/>
        <v>53.992999999999959</v>
      </c>
      <c r="P16" s="23">
        <f t="shared" ref="P16:S16" si="69">P14-P15</f>
        <v>14.723381272979973</v>
      </c>
      <c r="Q16" s="23">
        <f t="shared" si="69"/>
        <v>15.457209994799921</v>
      </c>
      <c r="R16" s="23">
        <f t="shared" si="69"/>
        <v>16.612450303679999</v>
      </c>
      <c r="S16" s="23">
        <f t="shared" si="69"/>
        <v>17.890174726619964</v>
      </c>
      <c r="W16" s="23">
        <f>SUM(D16:G16)</f>
        <v>-20.744999999999976</v>
      </c>
      <c r="X16" s="23">
        <f>SUM(H16:K16)</f>
        <v>-50.15999999999994</v>
      </c>
      <c r="Y16" s="23">
        <f>SUM(L16:O16)</f>
        <v>48.567999999999884</v>
      </c>
      <c r="Z16" s="23">
        <f>SUM(P16:S16)</f>
        <v>64.683216298079856</v>
      </c>
      <c r="AA16" s="23">
        <f t="shared" ref="AA16" si="70">AA14-AA15</f>
        <v>114.57819056211841</v>
      </c>
      <c r="AB16" s="23">
        <f t="shared" ref="AB16" si="71">AB14-AB15</f>
        <v>452.72653568364962</v>
      </c>
      <c r="AC16" s="23">
        <f t="shared" ref="AC16" si="72">AC14-AC15</f>
        <v>961.60127527714963</v>
      </c>
      <c r="AD16" s="23">
        <f t="shared" ref="AD16" si="73">AD14-AD15</f>
        <v>1463.0336094526272</v>
      </c>
      <c r="AE16" s="23">
        <f t="shared" ref="AE16" si="74">AE14-AE15</f>
        <v>2014.7487135904407</v>
      </c>
      <c r="AF16" s="23">
        <f t="shared" ref="AF16" si="75">AF14-AF15</f>
        <v>2555.3080426748479</v>
      </c>
      <c r="AG16" s="23">
        <f t="shared" ref="AG16" si="76">AG14-AG15</f>
        <v>3063.0851711572004</v>
      </c>
      <c r="AH16" s="23">
        <f t="shared" ref="AH16" si="77">AH14-AH15</f>
        <v>3608.1585281080943</v>
      </c>
      <c r="AI16" s="23">
        <f t="shared" ref="AI16" si="78">AI14-AI15</f>
        <v>4196.1611856931795</v>
      </c>
      <c r="AJ16" s="23">
        <f t="shared" ref="AJ16" si="79">AJ14-AJ15</f>
        <v>4403.3584614580204</v>
      </c>
      <c r="AK16" s="23">
        <f>AJ16*(1+$AM$17)</f>
        <v>4359.3248768434405</v>
      </c>
      <c r="AL16" s="23">
        <f t="shared" ref="AL16:CW16" si="80">AK16*(1+$AM$17)</f>
        <v>4315.7316280750065</v>
      </c>
      <c r="AM16" s="23">
        <f t="shared" si="80"/>
        <v>4272.5743117942566</v>
      </c>
      <c r="AN16" s="23">
        <f t="shared" si="80"/>
        <v>4229.8485686763142</v>
      </c>
      <c r="AO16" s="23">
        <f t="shared" si="80"/>
        <v>4187.5500829895509</v>
      </c>
      <c r="AP16" s="23">
        <f t="shared" si="80"/>
        <v>4145.6745821596551</v>
      </c>
      <c r="AQ16" s="23">
        <f t="shared" si="80"/>
        <v>4104.2178363380581</v>
      </c>
      <c r="AR16" s="23">
        <f t="shared" si="80"/>
        <v>4063.1756579746775</v>
      </c>
      <c r="AS16" s="23">
        <f t="shared" si="80"/>
        <v>4022.5439013949308</v>
      </c>
      <c r="AT16" s="23">
        <f t="shared" si="80"/>
        <v>3982.3184623809816</v>
      </c>
      <c r="AU16" s="23">
        <f t="shared" si="80"/>
        <v>3942.4952777571716</v>
      </c>
      <c r="AV16" s="23">
        <f t="shared" si="80"/>
        <v>3903.0703249795997</v>
      </c>
      <c r="AW16" s="23">
        <f t="shared" si="80"/>
        <v>3864.0396217298039</v>
      </c>
      <c r="AX16" s="23">
        <f t="shared" si="80"/>
        <v>3825.3992255125058</v>
      </c>
      <c r="AY16" s="23">
        <f t="shared" si="80"/>
        <v>3787.1452332573808</v>
      </c>
      <c r="AZ16" s="23">
        <f t="shared" si="80"/>
        <v>3749.2737809248069</v>
      </c>
      <c r="BA16" s="23">
        <f t="shared" si="80"/>
        <v>3711.781043115559</v>
      </c>
      <c r="BB16" s="23">
        <f t="shared" si="80"/>
        <v>3674.6632326844033</v>
      </c>
      <c r="BC16" s="23">
        <f t="shared" si="80"/>
        <v>3637.9166003575592</v>
      </c>
      <c r="BD16" s="23">
        <f t="shared" si="80"/>
        <v>3601.5374343539834</v>
      </c>
      <c r="BE16" s="23">
        <f t="shared" si="80"/>
        <v>3565.5220600104435</v>
      </c>
      <c r="BF16" s="23">
        <f t="shared" si="80"/>
        <v>3529.8668394103393</v>
      </c>
      <c r="BG16" s="23">
        <f t="shared" si="80"/>
        <v>3494.5681710162357</v>
      </c>
      <c r="BH16" s="23">
        <f t="shared" si="80"/>
        <v>3459.6224893060735</v>
      </c>
      <c r="BI16" s="23">
        <f t="shared" si="80"/>
        <v>3425.0262644130125</v>
      </c>
      <c r="BJ16" s="23">
        <f t="shared" si="80"/>
        <v>3390.7760017688825</v>
      </c>
      <c r="BK16" s="23">
        <f t="shared" si="80"/>
        <v>3356.8682417511936</v>
      </c>
      <c r="BL16" s="23">
        <f t="shared" si="80"/>
        <v>3323.2995593336818</v>
      </c>
      <c r="BM16" s="23">
        <f t="shared" si="80"/>
        <v>3290.0665637403449</v>
      </c>
      <c r="BN16" s="23">
        <f t="shared" si="80"/>
        <v>3257.1658981029414</v>
      </c>
      <c r="BO16" s="23">
        <f t="shared" si="80"/>
        <v>3224.5942391219119</v>
      </c>
      <c r="BP16" s="23">
        <f t="shared" si="80"/>
        <v>3192.3482967306927</v>
      </c>
      <c r="BQ16" s="23">
        <f t="shared" si="80"/>
        <v>3160.4248137633858</v>
      </c>
      <c r="BR16" s="23">
        <f t="shared" si="80"/>
        <v>3128.8205656257519</v>
      </c>
      <c r="BS16" s="23">
        <f t="shared" si="80"/>
        <v>3097.5323599694943</v>
      </c>
      <c r="BT16" s="23">
        <f t="shared" si="80"/>
        <v>3066.5570363697993</v>
      </c>
      <c r="BU16" s="23">
        <f t="shared" si="80"/>
        <v>3035.8914660061014</v>
      </c>
      <c r="BV16" s="23">
        <f t="shared" si="80"/>
        <v>3005.5325513460402</v>
      </c>
      <c r="BW16" s="23">
        <f t="shared" si="80"/>
        <v>2975.4772258325797</v>
      </c>
      <c r="BX16" s="23">
        <f t="shared" si="80"/>
        <v>2945.7224535742539</v>
      </c>
      <c r="BY16" s="23">
        <f t="shared" si="80"/>
        <v>2916.2652290385113</v>
      </c>
      <c r="BZ16" s="23">
        <f t="shared" si="80"/>
        <v>2887.102576748126</v>
      </c>
      <c r="CA16" s="23">
        <f t="shared" si="80"/>
        <v>2858.2315509806449</v>
      </c>
      <c r="CB16" s="23">
        <f t="shared" si="80"/>
        <v>2829.6492354708384</v>
      </c>
      <c r="CC16" s="23">
        <f t="shared" si="80"/>
        <v>2801.3527431161301</v>
      </c>
      <c r="CD16" s="23">
        <f t="shared" si="80"/>
        <v>2773.3392156849686</v>
      </c>
      <c r="CE16" s="23">
        <f t="shared" si="80"/>
        <v>2745.6058235281189</v>
      </c>
      <c r="CF16" s="23">
        <f t="shared" si="80"/>
        <v>2718.1497652928379</v>
      </c>
      <c r="CG16" s="23">
        <f t="shared" si="80"/>
        <v>2690.9682676399093</v>
      </c>
      <c r="CH16" s="23">
        <f t="shared" si="80"/>
        <v>2664.0585849635104</v>
      </c>
      <c r="CI16" s="23">
        <f t="shared" si="80"/>
        <v>2637.4179991138753</v>
      </c>
      <c r="CJ16" s="23">
        <f t="shared" si="80"/>
        <v>2611.0438191227367</v>
      </c>
      <c r="CK16" s="23">
        <f t="shared" si="80"/>
        <v>2584.9333809315094</v>
      </c>
      <c r="CL16" s="23">
        <f t="shared" si="80"/>
        <v>2559.0840471221941</v>
      </c>
      <c r="CM16" s="23">
        <f t="shared" si="80"/>
        <v>2533.4932066509723</v>
      </c>
      <c r="CN16" s="23">
        <f t="shared" si="80"/>
        <v>2508.1582745844626</v>
      </c>
      <c r="CO16" s="23">
        <f t="shared" si="80"/>
        <v>2483.076691838618</v>
      </c>
      <c r="CP16" s="23">
        <f t="shared" si="80"/>
        <v>2458.2459249202316</v>
      </c>
      <c r="CQ16" s="23">
        <f t="shared" si="80"/>
        <v>2433.6634656710294</v>
      </c>
      <c r="CR16" s="23">
        <f t="shared" si="80"/>
        <v>2409.3268310143189</v>
      </c>
      <c r="CS16" s="23">
        <f t="shared" si="80"/>
        <v>2385.2335627041757</v>
      </c>
      <c r="CT16" s="23">
        <f t="shared" si="80"/>
        <v>2361.3812270771341</v>
      </c>
      <c r="CU16" s="23">
        <f t="shared" si="80"/>
        <v>2337.7674148063629</v>
      </c>
      <c r="CV16" s="23">
        <f t="shared" si="80"/>
        <v>2314.3897406582992</v>
      </c>
      <c r="CW16" s="23">
        <f t="shared" si="80"/>
        <v>2291.245843251716</v>
      </c>
      <c r="CX16" s="23">
        <f t="shared" ref="CX16:FI16" si="81">CW16*(1+$AM$17)</f>
        <v>2268.3333848191987</v>
      </c>
      <c r="CY16" s="23">
        <f t="shared" si="81"/>
        <v>2245.6500509710067</v>
      </c>
      <c r="CZ16" s="23">
        <f t="shared" si="81"/>
        <v>2223.1935504612966</v>
      </c>
      <c r="DA16" s="23">
        <f t="shared" si="81"/>
        <v>2200.9616149566837</v>
      </c>
      <c r="DB16" s="23">
        <f t="shared" si="81"/>
        <v>2178.951998807117</v>
      </c>
      <c r="DC16" s="23">
        <f t="shared" si="81"/>
        <v>2157.1624788190456</v>
      </c>
      <c r="DD16" s="23">
        <f t="shared" si="81"/>
        <v>2135.5908540308551</v>
      </c>
      <c r="DE16" s="23">
        <f t="shared" si="81"/>
        <v>2114.2349454905466</v>
      </c>
      <c r="DF16" s="23">
        <f t="shared" si="81"/>
        <v>2093.0925960356412</v>
      </c>
      <c r="DG16" s="23">
        <f t="shared" si="81"/>
        <v>2072.1616700752847</v>
      </c>
      <c r="DH16" s="23">
        <f t="shared" si="81"/>
        <v>2051.440053374532</v>
      </c>
      <c r="DI16" s="23">
        <f t="shared" si="81"/>
        <v>2030.9256528407866</v>
      </c>
      <c r="DJ16" s="23">
        <f t="shared" si="81"/>
        <v>2010.6163963123788</v>
      </c>
      <c r="DK16" s="23">
        <f t="shared" si="81"/>
        <v>1990.5102323492549</v>
      </c>
      <c r="DL16" s="23">
        <f t="shared" si="81"/>
        <v>1970.6051300257623</v>
      </c>
      <c r="DM16" s="23">
        <f t="shared" si="81"/>
        <v>1950.8990787255045</v>
      </c>
      <c r="DN16" s="23">
        <f t="shared" si="81"/>
        <v>1931.3900879382495</v>
      </c>
      <c r="DO16" s="23">
        <f t="shared" si="81"/>
        <v>1912.0761870588669</v>
      </c>
      <c r="DP16" s="23">
        <f t="shared" si="81"/>
        <v>1892.9554251882782</v>
      </c>
      <c r="DQ16" s="23">
        <f t="shared" si="81"/>
        <v>1874.0258709363954</v>
      </c>
      <c r="DR16" s="23">
        <f t="shared" si="81"/>
        <v>1855.2856122270314</v>
      </c>
      <c r="DS16" s="23">
        <f t="shared" si="81"/>
        <v>1836.7327561047609</v>
      </c>
      <c r="DT16" s="23">
        <f t="shared" si="81"/>
        <v>1818.3654285437133</v>
      </c>
      <c r="DU16" s="23">
        <f t="shared" si="81"/>
        <v>1800.1817742582762</v>
      </c>
      <c r="DV16" s="23">
        <f t="shared" si="81"/>
        <v>1782.1799565156934</v>
      </c>
      <c r="DW16" s="23">
        <f t="shared" si="81"/>
        <v>1764.3581569505366</v>
      </c>
      <c r="DX16" s="23">
        <f t="shared" si="81"/>
        <v>1746.7145753810312</v>
      </c>
      <c r="DY16" s="23">
        <f t="shared" si="81"/>
        <v>1729.2474296272208</v>
      </c>
      <c r="DZ16" s="23">
        <f t="shared" si="81"/>
        <v>1711.9549553309485</v>
      </c>
      <c r="EA16" s="23">
        <f t="shared" si="81"/>
        <v>1694.8354057776389</v>
      </c>
      <c r="EB16" s="23">
        <f t="shared" si="81"/>
        <v>1677.8870517198625</v>
      </c>
      <c r="EC16" s="23">
        <f t="shared" si="81"/>
        <v>1661.1081812026639</v>
      </c>
      <c r="ED16" s="23">
        <f t="shared" si="81"/>
        <v>1644.4970993906372</v>
      </c>
      <c r="EE16" s="23">
        <f t="shared" si="81"/>
        <v>1628.052128396731</v>
      </c>
      <c r="EF16" s="23">
        <f t="shared" si="81"/>
        <v>1611.7716071127636</v>
      </c>
      <c r="EG16" s="23">
        <f t="shared" si="81"/>
        <v>1595.6538910416359</v>
      </c>
      <c r="EH16" s="23">
        <f t="shared" si="81"/>
        <v>1579.6973521312195</v>
      </c>
      <c r="EI16" s="23">
        <f t="shared" si="81"/>
        <v>1563.9003786099074</v>
      </c>
      <c r="EJ16" s="23">
        <f t="shared" si="81"/>
        <v>1548.2613748238084</v>
      </c>
      <c r="EK16" s="23">
        <f t="shared" si="81"/>
        <v>1532.7787610755704</v>
      </c>
      <c r="EL16" s="23">
        <f t="shared" si="81"/>
        <v>1517.4509734648148</v>
      </c>
      <c r="EM16" s="23">
        <f t="shared" si="81"/>
        <v>1502.2764637301666</v>
      </c>
      <c r="EN16" s="23">
        <f t="shared" si="81"/>
        <v>1487.253699092865</v>
      </c>
      <c r="EO16" s="23">
        <f t="shared" si="81"/>
        <v>1472.3811621019363</v>
      </c>
      <c r="EP16" s="23">
        <f t="shared" si="81"/>
        <v>1457.6573504809169</v>
      </c>
      <c r="EQ16" s="23">
        <f t="shared" si="81"/>
        <v>1443.0807769761077</v>
      </c>
      <c r="ER16" s="23">
        <f t="shared" si="81"/>
        <v>1428.6499692063467</v>
      </c>
      <c r="ES16" s="23">
        <f t="shared" si="81"/>
        <v>1414.3634695142832</v>
      </c>
      <c r="ET16" s="23">
        <f t="shared" si="81"/>
        <v>1400.2198348191405</v>
      </c>
      <c r="EU16" s="23">
        <f t="shared" si="81"/>
        <v>1386.2176364709492</v>
      </c>
      <c r="EV16" s="23">
        <f t="shared" si="81"/>
        <v>1372.3554601062397</v>
      </c>
      <c r="EW16" s="23">
        <f t="shared" si="81"/>
        <v>1358.6319055051772</v>
      </c>
      <c r="EX16" s="23">
        <f t="shared" si="81"/>
        <v>1345.0455864501255</v>
      </c>
      <c r="EY16" s="23">
        <f t="shared" si="81"/>
        <v>1331.5951305856242</v>
      </c>
      <c r="EZ16" s="23">
        <f t="shared" si="81"/>
        <v>1318.279179279768</v>
      </c>
      <c r="FA16" s="23">
        <f t="shared" si="81"/>
        <v>1305.0963874869703</v>
      </c>
      <c r="FB16" s="23">
        <f t="shared" si="81"/>
        <v>1292.0454236121006</v>
      </c>
      <c r="FC16" s="23">
        <f t="shared" si="81"/>
        <v>1279.1249693759796</v>
      </c>
      <c r="FD16" s="23">
        <f t="shared" si="81"/>
        <v>1266.3337196822199</v>
      </c>
      <c r="FE16" s="23">
        <f t="shared" si="81"/>
        <v>1253.6703824853978</v>
      </c>
      <c r="FF16" s="23">
        <f t="shared" si="81"/>
        <v>1241.1336786605439</v>
      </c>
      <c r="FG16" s="23">
        <f t="shared" si="81"/>
        <v>1228.7223418739384</v>
      </c>
      <c r="FH16" s="23">
        <f t="shared" si="81"/>
        <v>1216.435118455199</v>
      </c>
      <c r="FI16" s="23">
        <f t="shared" si="81"/>
        <v>1204.270767270647</v>
      </c>
      <c r="FJ16" s="23">
        <f t="shared" ref="FJ16:FV16" si="82">FI16*(1+$AM$17)</f>
        <v>1192.2280595979405</v>
      </c>
      <c r="FK16" s="23">
        <f t="shared" si="82"/>
        <v>1180.3057790019611</v>
      </c>
      <c r="FL16" s="23">
        <f t="shared" si="82"/>
        <v>1168.5027212119414</v>
      </c>
      <c r="FM16" s="23">
        <f t="shared" si="82"/>
        <v>1156.817693999822</v>
      </c>
      <c r="FN16" s="23">
        <f t="shared" si="82"/>
        <v>1145.2495170598238</v>
      </c>
      <c r="FO16" s="23">
        <f t="shared" si="82"/>
        <v>1133.7970218892256</v>
      </c>
      <c r="FP16" s="23">
        <f t="shared" si="82"/>
        <v>1122.4590516703333</v>
      </c>
      <c r="FQ16" s="23">
        <f t="shared" si="82"/>
        <v>1111.23446115363</v>
      </c>
      <c r="FR16" s="23">
        <f t="shared" si="82"/>
        <v>1100.1221165420936</v>
      </c>
      <c r="FS16" s="23">
        <f t="shared" si="82"/>
        <v>1089.1208953766727</v>
      </c>
      <c r="FT16" s="23">
        <f t="shared" si="82"/>
        <v>1078.2296864229061</v>
      </c>
      <c r="FU16" s="23">
        <f t="shared" si="82"/>
        <v>1067.4473895586771</v>
      </c>
      <c r="FV16" s="23">
        <f t="shared" si="82"/>
        <v>1056.7729156630903</v>
      </c>
    </row>
    <row r="17" spans="1:39" s="3" customFormat="1" x14ac:dyDescent="0.3">
      <c r="A17" s="5" t="s">
        <v>62</v>
      </c>
      <c r="C17" s="24">
        <f t="shared" ref="C17:O17" si="83">C16/C18</f>
        <v>-5.3147929500060795E-2</v>
      </c>
      <c r="D17" s="24">
        <f t="shared" si="83"/>
        <v>-4.2701137782076452E-2</v>
      </c>
      <c r="E17" s="24">
        <f t="shared" si="83"/>
        <v>-3.0394228927436189E-2</v>
      </c>
      <c r="F17" s="24">
        <f t="shared" si="83"/>
        <v>-1.7676238609881833E-2</v>
      </c>
      <c r="G17" s="24">
        <f t="shared" si="83"/>
        <v>2.0727021455604115E-2</v>
      </c>
      <c r="H17" s="24">
        <f t="shared" si="83"/>
        <v>2.8171540321927365E-2</v>
      </c>
      <c r="I17" s="24">
        <f t="shared" si="83"/>
        <v>-1.5498975523753589E-2</v>
      </c>
      <c r="J17" s="24">
        <f t="shared" si="83"/>
        <v>-8.223361498781584E-2</v>
      </c>
      <c r="K17" s="24">
        <f t="shared" si="83"/>
        <v>-9.1489468974122995E-2</v>
      </c>
      <c r="L17" s="24">
        <f t="shared" si="83"/>
        <v>-7.5437068960117162E-2</v>
      </c>
      <c r="M17" s="24">
        <f t="shared" si="83"/>
        <v>-1.2317862296913644E-2</v>
      </c>
      <c r="N17" s="24">
        <f t="shared" si="83"/>
        <v>6.4416226171262123E-2</v>
      </c>
      <c r="O17" s="24">
        <f t="shared" si="83"/>
        <v>0.15299498168072598</v>
      </c>
      <c r="P17" s="24">
        <f t="shared" ref="P17:S17" si="84">P16/P18</f>
        <v>4.1720286854553673E-2</v>
      </c>
      <c r="Q17" s="24">
        <f t="shared" si="84"/>
        <v>4.379966958660475E-2</v>
      </c>
      <c r="R17" s="24">
        <f t="shared" si="84"/>
        <v>4.7073167445474302E-2</v>
      </c>
      <c r="S17" s="24">
        <f t="shared" si="84"/>
        <v>5.0693737235645554E-2</v>
      </c>
      <c r="W17" s="3">
        <f>SUM(E17:H17)</f>
        <v>8.280942402134582E-4</v>
      </c>
      <c r="X17" s="3">
        <f>SUM(H17:K17)</f>
        <v>-0.16105051916376506</v>
      </c>
      <c r="Y17" s="3">
        <f>SUM(L17:O17)</f>
        <v>0.12965627659495729</v>
      </c>
      <c r="Z17" s="3">
        <f>SUM(P17:S17)</f>
        <v>0.18328686112227827</v>
      </c>
      <c r="AA17" s="24">
        <f t="shared" ref="AA17" si="85">AA16/AA18</f>
        <v>0.3246696454366686</v>
      </c>
      <c r="AB17" s="24">
        <f t="shared" ref="AB17" si="86">AB16/AB18</f>
        <v>1.2828494070212539</v>
      </c>
      <c r="AC17" s="24">
        <f t="shared" ref="AC17" si="87">AC16/AC18</f>
        <v>2.7248007981625459</v>
      </c>
      <c r="AD17" s="24">
        <f t="shared" ref="AD17" si="88">AD16/AD18</f>
        <v>3.4547194432070096</v>
      </c>
      <c r="AE17" s="24">
        <f t="shared" ref="AE17" si="89">AE16/AE18</f>
        <v>3.9645885491205131</v>
      </c>
      <c r="AF17" s="24">
        <f t="shared" ref="AF17" si="90">AF16/AF18</f>
        <v>4.02263366627413</v>
      </c>
      <c r="AG17" s="24">
        <f t="shared" ref="AG17" si="91">AG16/AG18</f>
        <v>3.8575919071624485</v>
      </c>
      <c r="AH17" s="24">
        <f t="shared" ref="AH17" si="92">AH16/AH18</f>
        <v>3.4954208081677796</v>
      </c>
      <c r="AI17" s="24">
        <f t="shared" ref="AI17" si="93">AI16/AI18</f>
        <v>3.1269624548062569</v>
      </c>
      <c r="AJ17" s="24">
        <f t="shared" ref="AJ17" si="94">AJ16/AJ18</f>
        <v>2.5241269478139237</v>
      </c>
      <c r="AL17" s="3" t="s">
        <v>101</v>
      </c>
      <c r="AM17" s="40">
        <v>-0.01</v>
      </c>
    </row>
    <row r="18" spans="1:39" s="3" customFormat="1" x14ac:dyDescent="0.3">
      <c r="A18" s="5" t="s">
        <v>1</v>
      </c>
      <c r="C18" s="3">
        <v>304.05700000000002</v>
      </c>
      <c r="D18" s="3">
        <v>306.03399999999999</v>
      </c>
      <c r="E18" s="3">
        <v>308.01900000000001</v>
      </c>
      <c r="F18" s="3">
        <v>310.24700000000001</v>
      </c>
      <c r="G18" s="3">
        <v>345.87700000000001</v>
      </c>
      <c r="H18" s="3">
        <v>345.66800000000001</v>
      </c>
      <c r="I18" s="3">
        <v>314.79500000000002</v>
      </c>
      <c r="J18" s="3">
        <v>315.99</v>
      </c>
      <c r="K18" s="3">
        <v>317.34800000000001</v>
      </c>
      <c r="L18" s="3">
        <v>319.286</v>
      </c>
      <c r="M18" s="3">
        <v>322.21499999999997</v>
      </c>
      <c r="N18" s="3">
        <v>351.30900000000003</v>
      </c>
      <c r="O18" s="3">
        <v>352.90699999999998</v>
      </c>
      <c r="P18" s="3">
        <v>352.90699999999998</v>
      </c>
      <c r="Q18" s="3">
        <v>352.90699999999998</v>
      </c>
      <c r="R18" s="3">
        <v>352.90699999999998</v>
      </c>
      <c r="S18" s="3">
        <v>352.90699999999998</v>
      </c>
      <c r="W18" s="3">
        <f>AVERAGE(D18:G18)</f>
        <v>317.54424999999998</v>
      </c>
      <c r="X18" s="3">
        <f>AVERAGE(H18:K18)</f>
        <v>323.45024999999998</v>
      </c>
      <c r="Y18" s="3">
        <f>AVERAGE(L18:O18)</f>
        <v>336.42924999999997</v>
      </c>
      <c r="Z18" s="3">
        <f>AVERAGE(P18:S18)</f>
        <v>352.90699999999998</v>
      </c>
      <c r="AA18" s="3">
        <v>352.90699999999998</v>
      </c>
      <c r="AB18" s="3">
        <v>352.90699999999998</v>
      </c>
      <c r="AC18" s="3">
        <v>352.90699999999998</v>
      </c>
      <c r="AD18" s="3">
        <f>AC18*1.2</f>
        <v>423.48839999999996</v>
      </c>
      <c r="AE18" s="3">
        <f>AD18*1.2</f>
        <v>508.18607999999995</v>
      </c>
      <c r="AF18" s="3">
        <f>AE18*1.25</f>
        <v>635.23259999999993</v>
      </c>
      <c r="AG18" s="3">
        <f>AF18*1.25</f>
        <v>794.04074999999989</v>
      </c>
      <c r="AH18" s="3">
        <f>AG18*1.3</f>
        <v>1032.2529749999999</v>
      </c>
      <c r="AI18" s="3">
        <f>AH18*1.3</f>
        <v>1341.9288674999998</v>
      </c>
      <c r="AJ18" s="3">
        <f>AI18*1.3</f>
        <v>1744.5075277499998</v>
      </c>
      <c r="AL18" s="3" t="s">
        <v>102</v>
      </c>
      <c r="AM18" s="40">
        <v>6.5000000000000002E-2</v>
      </c>
    </row>
    <row r="19" spans="1:39" s="3" customFormat="1" x14ac:dyDescent="0.3">
      <c r="A19" s="5"/>
      <c r="AL19" s="3" t="s">
        <v>103</v>
      </c>
      <c r="AM19" s="3">
        <f>NPV(AM18,Z16:FV16)</f>
        <v>42786.511392927678</v>
      </c>
    </row>
    <row r="20" spans="1:39" x14ac:dyDescent="0.3">
      <c r="AL20" s="3" t="s">
        <v>3</v>
      </c>
      <c r="AM20" s="3">
        <f>Y34</f>
        <v>1680.5610000000001</v>
      </c>
    </row>
    <row r="21" spans="1:39" s="26" customFormat="1" x14ac:dyDescent="0.3">
      <c r="A21" s="25" t="s">
        <v>63</v>
      </c>
      <c r="C21" s="31"/>
      <c r="D21" s="31"/>
      <c r="E21" s="31"/>
      <c r="F21" s="31"/>
      <c r="G21" s="31">
        <f t="shared" ref="G21:O21" si="95">G3/C3-1</f>
        <v>0.83741431074009598</v>
      </c>
      <c r="H21" s="31">
        <f t="shared" si="95"/>
        <v>0.82841515192723181</v>
      </c>
      <c r="I21" s="31">
        <f t="shared" si="95"/>
        <v>0.73898411040081502</v>
      </c>
      <c r="J21" s="31">
        <f t="shared" si="95"/>
        <v>0.61387196474520134</v>
      </c>
      <c r="K21" s="31">
        <f t="shared" si="95"/>
        <v>0.43900023911857233</v>
      </c>
      <c r="L21" s="31">
        <f t="shared" si="95"/>
        <v>0.32692614935404807</v>
      </c>
      <c r="M21" s="31">
        <f t="shared" si="95"/>
        <v>0.25440121338067367</v>
      </c>
      <c r="N21" s="31">
        <f t="shared" si="95"/>
        <v>0.25428318134024219</v>
      </c>
      <c r="O21" s="31">
        <f t="shared" si="95"/>
        <v>0.25617864545940661</v>
      </c>
      <c r="X21" s="31">
        <f t="shared" ref="X21:AJ21" si="96">X3/W3-1</f>
        <v>0.62823294296956389</v>
      </c>
      <c r="Y21" s="31">
        <f t="shared" si="96"/>
        <v>0.27058623365769208</v>
      </c>
      <c r="Z21" s="31">
        <f t="shared" si="96"/>
        <v>0.22003698060336618</v>
      </c>
      <c r="AA21" s="31">
        <f t="shared" si="96"/>
        <v>0.19999999999999996</v>
      </c>
      <c r="AB21" s="31">
        <f t="shared" si="96"/>
        <v>0.17999999999999994</v>
      </c>
      <c r="AC21" s="31">
        <f t="shared" si="96"/>
        <v>0.16999999999999993</v>
      </c>
      <c r="AD21" s="31">
        <f t="shared" si="96"/>
        <v>0.17999999999999994</v>
      </c>
      <c r="AE21" s="31">
        <f t="shared" si="96"/>
        <v>0.14999999999999991</v>
      </c>
      <c r="AF21" s="31">
        <f t="shared" si="96"/>
        <v>0.14999999999999991</v>
      </c>
      <c r="AG21" s="31">
        <f t="shared" si="96"/>
        <v>0.1100000000000001</v>
      </c>
      <c r="AH21" s="31">
        <f t="shared" si="96"/>
        <v>0.1100000000000001</v>
      </c>
      <c r="AI21" s="31">
        <f t="shared" si="96"/>
        <v>0.1100000000000001</v>
      </c>
      <c r="AJ21" s="31">
        <f t="shared" si="96"/>
        <v>2.4999999999999911E-2</v>
      </c>
      <c r="AL21" s="26" t="s">
        <v>104</v>
      </c>
      <c r="AM21" s="26">
        <f>AM19+AM20</f>
        <v>44467.072392927679</v>
      </c>
    </row>
    <row r="22" spans="1:39" s="28" customFormat="1" x14ac:dyDescent="0.3">
      <c r="A22" s="27" t="s">
        <v>64</v>
      </c>
      <c r="C22" s="32"/>
      <c r="D22" s="32">
        <f t="shared" ref="D22:O22" si="97">D3/C3-1</f>
        <v>0.11839059093904725</v>
      </c>
      <c r="E22" s="32">
        <f t="shared" si="97"/>
        <v>0.17627890344448982</v>
      </c>
      <c r="F22" s="32">
        <f t="shared" si="97"/>
        <v>0.15816381144856106</v>
      </c>
      <c r="G22" s="32">
        <f t="shared" si="97"/>
        <v>0.20596107775575989</v>
      </c>
      <c r="H22" s="32">
        <f t="shared" si="97"/>
        <v>0.11291301602094439</v>
      </c>
      <c r="I22" s="32">
        <f t="shared" si="97"/>
        <v>0.1187450072996723</v>
      </c>
      <c r="J22" s="32">
        <f t="shared" si="97"/>
        <v>7.4839094101019965E-2</v>
      </c>
      <c r="K22" s="32">
        <f t="shared" si="97"/>
        <v>7.5288695241825909E-2</v>
      </c>
      <c r="L22" s="32">
        <f t="shared" si="97"/>
        <v>2.6235675832287697E-2</v>
      </c>
      <c r="M22" s="32">
        <f t="shared" si="97"/>
        <v>5.7598492051300187E-2</v>
      </c>
      <c r="N22" s="32">
        <f t="shared" si="97"/>
        <v>7.4737957837710534E-2</v>
      </c>
      <c r="O22" s="32">
        <f t="shared" si="97"/>
        <v>7.6913664124368175E-2</v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L22" s="28" t="s">
        <v>105</v>
      </c>
      <c r="AM22" s="43">
        <f>AM21/Main!L3</f>
        <v>133.98777263731418</v>
      </c>
    </row>
    <row r="23" spans="1:39" s="3" customFormat="1" x14ac:dyDescent="0.3">
      <c r="A23" s="5"/>
      <c r="AL23" s="3" t="s">
        <v>106</v>
      </c>
      <c r="AM23" s="39">
        <f>AM22/Main!L2-1</f>
        <v>0.12623159315217425</v>
      </c>
    </row>
    <row r="24" spans="1:39" s="26" customFormat="1" x14ac:dyDescent="0.3">
      <c r="A24" s="25" t="s">
        <v>65</v>
      </c>
      <c r="C24" s="31">
        <f t="shared" ref="C24:P24" si="98">C5/C3</f>
        <v>0.76986554460911061</v>
      </c>
      <c r="D24" s="31">
        <f t="shared" si="98"/>
        <v>0.7649648197674126</v>
      </c>
      <c r="E24" s="31">
        <f t="shared" si="98"/>
        <v>0.75552025485015994</v>
      </c>
      <c r="F24" s="31">
        <f t="shared" si="98"/>
        <v>0.76586022300434775</v>
      </c>
      <c r="G24" s="31">
        <f t="shared" si="98"/>
        <v>0.79414649997854059</v>
      </c>
      <c r="H24" s="31">
        <f t="shared" si="98"/>
        <v>0.79488747486433631</v>
      </c>
      <c r="I24" s="31">
        <f t="shared" si="98"/>
        <v>0.79828284967178642</v>
      </c>
      <c r="J24" s="31">
        <f t="shared" si="98"/>
        <v>0.78558551129009724</v>
      </c>
      <c r="K24" s="31">
        <f t="shared" si="98"/>
        <v>0.79387045988593929</v>
      </c>
      <c r="L24" s="31">
        <f t="shared" si="98"/>
        <v>0.79258647247121738</v>
      </c>
      <c r="M24" s="31">
        <f t="shared" si="98"/>
        <v>0.80009029168138812</v>
      </c>
      <c r="N24" s="31">
        <f t="shared" si="98"/>
        <v>0.81130190526285029</v>
      </c>
      <c r="O24" s="31">
        <f t="shared" si="98"/>
        <v>0.82221796356815668</v>
      </c>
      <c r="P24" s="31">
        <f t="shared" si="98"/>
        <v>0.80649999999999999</v>
      </c>
      <c r="Q24" s="31">
        <f t="shared" ref="Q24:S24" si="99">Q5/Q3</f>
        <v>0.80649999999999999</v>
      </c>
      <c r="R24" s="31">
        <f t="shared" si="99"/>
        <v>0.80649999999999999</v>
      </c>
      <c r="S24" s="31">
        <f t="shared" si="99"/>
        <v>0.80649999999999999</v>
      </c>
      <c r="V24" s="31"/>
      <c r="W24" s="31">
        <f>W5/W3</f>
        <v>0.77230886172413249</v>
      </c>
      <c r="X24" s="31">
        <f>X5/X3</f>
        <v>0.79300161184406903</v>
      </c>
      <c r="Y24" s="31">
        <f>Y5/Y3</f>
        <v>0.80740655124440941</v>
      </c>
      <c r="Z24" s="31">
        <f>Z5/Z3</f>
        <v>0.80650000000000011</v>
      </c>
      <c r="AA24" s="31">
        <f t="shared" ref="AA24:AJ24" si="100">AA5/AA3</f>
        <v>0.80649999999999999</v>
      </c>
      <c r="AB24" s="31">
        <f t="shared" si="100"/>
        <v>0.80650000000000011</v>
      </c>
      <c r="AC24" s="31">
        <f t="shared" si="100"/>
        <v>0.80649999999999999</v>
      </c>
      <c r="AD24" s="31">
        <f t="shared" si="100"/>
        <v>0.80649999999999999</v>
      </c>
      <c r="AE24" s="31">
        <f t="shared" si="100"/>
        <v>0.80649999999999988</v>
      </c>
      <c r="AF24" s="31">
        <f t="shared" si="100"/>
        <v>0.80649999999999999</v>
      </c>
      <c r="AG24" s="31">
        <f t="shared" si="100"/>
        <v>0.80649999999999999</v>
      </c>
      <c r="AH24" s="31">
        <f t="shared" si="100"/>
        <v>0.80649999999999999</v>
      </c>
      <c r="AI24" s="31">
        <f t="shared" si="100"/>
        <v>0.80649999999999999</v>
      </c>
      <c r="AJ24" s="31">
        <f t="shared" si="100"/>
        <v>0.80649999999999999</v>
      </c>
    </row>
    <row r="25" spans="1:39" s="30" customFormat="1" x14ac:dyDescent="0.3">
      <c r="A25" s="29" t="s">
        <v>66</v>
      </c>
      <c r="C25" s="33">
        <f t="shared" ref="C25:P25" si="101">C10/C3</f>
        <v>-5.034613673104972E-2</v>
      </c>
      <c r="D25" s="33">
        <f t="shared" si="101"/>
        <v>-6.4618809462651458E-2</v>
      </c>
      <c r="E25" s="33">
        <f t="shared" si="101"/>
        <v>-4.2329446925484446E-2</v>
      </c>
      <c r="F25" s="33">
        <f t="shared" si="101"/>
        <v>-1.8096921120345489E-2</v>
      </c>
      <c r="G25" s="33">
        <f t="shared" si="101"/>
        <v>2.5919840097118882E-2</v>
      </c>
      <c r="H25" s="33">
        <f t="shared" si="101"/>
        <v>2.8686334462716546E-2</v>
      </c>
      <c r="I25" s="33">
        <f t="shared" si="101"/>
        <v>-7.7289000290541891E-3</v>
      </c>
      <c r="J25" s="33">
        <f t="shared" si="101"/>
        <v>-7.1797550242478636E-2</v>
      </c>
      <c r="K25" s="33">
        <f t="shared" si="101"/>
        <v>-7.3770928357324975E-2</v>
      </c>
      <c r="L25" s="33">
        <f t="shared" si="101"/>
        <v>-7.259494222713056E-2</v>
      </c>
      <c r="M25" s="33">
        <f t="shared" si="101"/>
        <v>-4.3194755231028989E-2</v>
      </c>
      <c r="N25" s="33">
        <f t="shared" si="101"/>
        <v>-7.7255194179014263E-3</v>
      </c>
      <c r="O25" s="33">
        <f t="shared" si="101"/>
        <v>4.704832875151143E-2</v>
      </c>
      <c r="P25" s="33">
        <f t="shared" si="101"/>
        <v>2.1999999999999455E-3</v>
      </c>
      <c r="Q25" s="33">
        <f t="shared" ref="Q25:S25" si="102">Q10/Q3</f>
        <v>2.1999999999998687E-3</v>
      </c>
      <c r="R25" s="33">
        <f t="shared" si="102"/>
        <v>2.200000000000004E-3</v>
      </c>
      <c r="S25" s="33">
        <f t="shared" si="102"/>
        <v>2.1999999999999399E-3</v>
      </c>
      <c r="V25" s="33"/>
      <c r="W25" s="33">
        <f>W10/W3</f>
        <v>-1.8620040747134456E-2</v>
      </c>
      <c r="X25" s="33">
        <f>X10/X3</f>
        <v>-3.5039699122440413E-2</v>
      </c>
      <c r="Y25" s="33">
        <f>Y10/Y3</f>
        <v>-1.5722911407333121E-2</v>
      </c>
      <c r="Z25" s="33">
        <f>Z10/Z3</f>
        <v>2.1999999999999412E-3</v>
      </c>
      <c r="AA25" s="33">
        <f t="shared" ref="AA25:AJ25" si="103">AA10/AA3</f>
        <v>2.1999999999999993E-3</v>
      </c>
      <c r="AB25" s="33">
        <f t="shared" si="103"/>
        <v>0.10468474576271188</v>
      </c>
      <c r="AC25" s="33">
        <f t="shared" si="103"/>
        <v>0.23481988990294067</v>
      </c>
      <c r="AD25" s="33">
        <f t="shared" si="103"/>
        <v>0.34049636684615125</v>
      </c>
      <c r="AE25" s="33">
        <f t="shared" si="103"/>
        <v>0.4152304074857287</v>
      </c>
      <c r="AF25" s="33">
        <f t="shared" si="103"/>
        <v>0.4751404901870917</v>
      </c>
      <c r="AG25" s="33">
        <f t="shared" si="103"/>
        <v>0.51604151545063803</v>
      </c>
      <c r="AH25" s="33">
        <f t="shared" si="103"/>
        <v>0.55003812423335918</v>
      </c>
      <c r="AI25" s="33">
        <f t="shared" si="103"/>
        <v>0.57831639672340507</v>
      </c>
      <c r="AJ25" s="33">
        <f t="shared" si="103"/>
        <v>0.59190041700900053</v>
      </c>
    </row>
    <row r="26" spans="1:39" s="30" customFormat="1" x14ac:dyDescent="0.3">
      <c r="A26" s="29" t="s">
        <v>67</v>
      </c>
      <c r="C26" s="33">
        <f t="shared" ref="C26:P26" si="104">C16/C3</f>
        <v>-9.10263559603674E-2</v>
      </c>
      <c r="D26" s="33">
        <f t="shared" si="104"/>
        <v>-6.5817506006073986E-2</v>
      </c>
      <c r="E26" s="33">
        <f t="shared" si="104"/>
        <v>-4.0085806404651564E-2</v>
      </c>
      <c r="F26" s="33">
        <f t="shared" si="104"/>
        <v>-2.0274466889473874E-2</v>
      </c>
      <c r="G26" s="33">
        <f t="shared" si="104"/>
        <v>2.1977449279272053E-2</v>
      </c>
      <c r="H26" s="33">
        <f t="shared" si="104"/>
        <v>2.6824229402528689E-2</v>
      </c>
      <c r="I26" s="33">
        <f t="shared" si="104"/>
        <v>-1.2013158089122445E-2</v>
      </c>
      <c r="J26" s="33">
        <f t="shared" si="104"/>
        <v>-5.9525854860915273E-2</v>
      </c>
      <c r="K26" s="33">
        <f t="shared" si="104"/>
        <v>-6.1853561682065759E-2</v>
      </c>
      <c r="L26" s="33">
        <f t="shared" si="104"/>
        <v>-5.0000622776170033E-2</v>
      </c>
      <c r="M26" s="33">
        <f t="shared" si="104"/>
        <v>-7.7906018136851369E-3</v>
      </c>
      <c r="N26" s="33">
        <f t="shared" si="104"/>
        <v>4.1330615703807472E-2</v>
      </c>
      <c r="O26" s="33">
        <f t="shared" si="104"/>
        <v>9.1568034542583734E-2</v>
      </c>
      <c r="P26" s="33">
        <f t="shared" si="104"/>
        <v>2.4909999999999953E-2</v>
      </c>
      <c r="Q26" s="33">
        <f t="shared" ref="Q26:S26" si="105">Q16/Q3</f>
        <v>2.4909999999999877E-2</v>
      </c>
      <c r="R26" s="33">
        <f t="shared" si="105"/>
        <v>2.4910000000000002E-2</v>
      </c>
      <c r="S26" s="33">
        <f t="shared" si="105"/>
        <v>2.490999999999995E-2</v>
      </c>
      <c r="V26" s="33"/>
      <c r="W26" s="33">
        <f>W16/W3</f>
        <v>-2.0164582652918372E-2</v>
      </c>
      <c r="X26" s="33">
        <f>X16/X3</f>
        <v>-2.9944480926511814E-2</v>
      </c>
      <c r="Y26" s="33">
        <f>Y16/Y3</f>
        <v>2.2819458559387718E-2</v>
      </c>
      <c r="Z26" s="33">
        <f>Z16/Z3</f>
        <v>2.490999999999995E-2</v>
      </c>
      <c r="AA26" s="33">
        <f t="shared" ref="AA26:AJ26" si="106">AA16/AA3</f>
        <v>3.6770779323310201E-2</v>
      </c>
      <c r="AB26" s="33">
        <f t="shared" si="106"/>
        <v>0.12312743099578811</v>
      </c>
      <c r="AC26" s="33">
        <f t="shared" si="106"/>
        <v>0.22352599485989516</v>
      </c>
      <c r="AD26" s="33">
        <f t="shared" si="106"/>
        <v>0.28820751551430912</v>
      </c>
      <c r="AE26" s="33">
        <f t="shared" si="106"/>
        <v>0.34512311321037098</v>
      </c>
      <c r="AF26" s="33">
        <f t="shared" si="106"/>
        <v>0.3806261128467438</v>
      </c>
      <c r="AG26" s="33">
        <f t="shared" si="106"/>
        <v>0.4110469328184484</v>
      </c>
      <c r="AH26" s="33">
        <f t="shared" si="106"/>
        <v>0.43620935045025405</v>
      </c>
      <c r="AI26" s="33">
        <f t="shared" si="106"/>
        <v>0.45702351244107231</v>
      </c>
      <c r="AJ26" s="33">
        <f t="shared" si="106"/>
        <v>0.46789301018205515</v>
      </c>
    </row>
    <row r="27" spans="1:39" s="28" customFormat="1" x14ac:dyDescent="0.3">
      <c r="A27" s="27" t="s">
        <v>68</v>
      </c>
      <c r="C27" s="32">
        <f t="shared" ref="C27:P27" si="107">C15/C14</f>
        <v>-6.5471088547504511E-2</v>
      </c>
      <c r="D27" s="32">
        <f t="shared" si="107"/>
        <v>-4.3020193151887674E-2</v>
      </c>
      <c r="E27" s="32">
        <f t="shared" si="107"/>
        <v>3.0648167322427106E-2</v>
      </c>
      <c r="F27" s="32">
        <f t="shared" si="107"/>
        <v>-0.15040906230333512</v>
      </c>
      <c r="G27" s="32">
        <f t="shared" si="107"/>
        <v>0.1597515236755746</v>
      </c>
      <c r="H27" s="32">
        <f t="shared" si="107"/>
        <v>0.10281923714759547</v>
      </c>
      <c r="I27" s="32">
        <f t="shared" si="107"/>
        <v>-442.5454545450209</v>
      </c>
      <c r="J27" s="32">
        <f t="shared" si="107"/>
        <v>-0.12689188603148485</v>
      </c>
      <c r="K27" s="32">
        <f t="shared" si="107"/>
        <v>-0.12299837549315394</v>
      </c>
      <c r="L27" s="32">
        <f t="shared" si="107"/>
        <v>-0.17929886408147303</v>
      </c>
      <c r="M27" s="32">
        <f t="shared" si="107"/>
        <v>-3.3711453744492288</v>
      </c>
      <c r="N27" s="32">
        <f t="shared" si="107"/>
        <v>6.8724279835391158E-2</v>
      </c>
      <c r="O27" s="32">
        <f t="shared" si="107"/>
        <v>5.7170796444723879E-2</v>
      </c>
      <c r="P27" s="32">
        <f t="shared" si="107"/>
        <v>0.06</v>
      </c>
      <c r="Q27" s="32">
        <f t="shared" ref="Q27:S27" si="108">Q15/Q14</f>
        <v>0.06</v>
      </c>
      <c r="R27" s="32">
        <f t="shared" si="108"/>
        <v>6.0000000000000005E-2</v>
      </c>
      <c r="S27" s="32">
        <f t="shared" si="108"/>
        <v>0.06</v>
      </c>
      <c r="V27" s="32"/>
      <c r="W27" s="32">
        <f>W15/W14</f>
        <v>-0.15742047551840208</v>
      </c>
      <c r="X27" s="32">
        <f>X15/X14</f>
        <v>-0.31757289204097766</v>
      </c>
      <c r="Y27" s="32">
        <f>Y15/Y14</f>
        <v>0.19369137544616957</v>
      </c>
      <c r="Z27" s="32">
        <f>Z15/Z14</f>
        <v>0.06</v>
      </c>
      <c r="AA27" s="32">
        <f t="shared" ref="AA27:AJ27" si="109">AA15/AA14</f>
        <v>0.06</v>
      </c>
      <c r="AB27" s="32">
        <f t="shared" si="109"/>
        <v>0.1</v>
      </c>
      <c r="AC27" s="32">
        <f t="shared" si="109"/>
        <v>0.15</v>
      </c>
      <c r="AD27" s="32">
        <f t="shared" si="109"/>
        <v>0.21</v>
      </c>
      <c r="AE27" s="32">
        <f t="shared" si="109"/>
        <v>0.21</v>
      </c>
      <c r="AF27" s="32">
        <f t="shared" si="109"/>
        <v>0.22999999999999998</v>
      </c>
      <c r="AG27" s="32">
        <f t="shared" si="109"/>
        <v>0.23</v>
      </c>
      <c r="AH27" s="32">
        <f t="shared" si="109"/>
        <v>0.23</v>
      </c>
      <c r="AI27" s="32">
        <f t="shared" si="109"/>
        <v>0.23</v>
      </c>
      <c r="AJ27" s="32">
        <f t="shared" si="109"/>
        <v>0.23</v>
      </c>
    </row>
    <row r="28" spans="1:39" s="30" customFormat="1" x14ac:dyDescent="0.3">
      <c r="A28" s="29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X28" s="33"/>
      <c r="Y28" s="33"/>
    </row>
    <row r="29" spans="1:39" s="30" customFormat="1" x14ac:dyDescent="0.3">
      <c r="A29" s="29" t="s">
        <v>94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V29" s="33">
        <f>V16/V49</f>
        <v>0</v>
      </c>
      <c r="W29" s="33">
        <f>W16/W49</f>
        <v>-8.7134796206643564E-3</v>
      </c>
      <c r="X29" s="33">
        <f>X16/X49</f>
        <v>-1.6693001851671878E-2</v>
      </c>
      <c r="Y29" s="33">
        <f>Y16/Y49</f>
        <v>1.2339205177141039E-2</v>
      </c>
    </row>
    <row r="30" spans="1:39" s="30" customFormat="1" x14ac:dyDescent="0.3">
      <c r="A30" s="29" t="s">
        <v>96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V30" s="33">
        <f>V16/V60</f>
        <v>0</v>
      </c>
      <c r="W30" s="33">
        <f>W16/W60</f>
        <v>-1.992406860141584E-2</v>
      </c>
      <c r="X30" s="33">
        <f>X16/X60</f>
        <v>-3.5561731436613085E-2</v>
      </c>
      <c r="Y30" s="33">
        <f>Y16/Y60</f>
        <v>2.3980005470648529E-2</v>
      </c>
    </row>
    <row r="31" spans="1:39" s="30" customFormat="1" x14ac:dyDescent="0.3">
      <c r="A31" s="29" t="s">
        <v>95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V31" s="33">
        <f>V16/V65</f>
        <v>0</v>
      </c>
      <c r="W31" s="33">
        <f>W16/W65</f>
        <v>-1.1200811188176854E-2</v>
      </c>
      <c r="X31" s="33">
        <f>X16/X65</f>
        <v>-2.2341949415260916E-2</v>
      </c>
      <c r="Y31" s="33">
        <f>Y16/Y65</f>
        <v>1.6559041533982001E-2</v>
      </c>
    </row>
    <row r="32" spans="1:39" s="30" customFormat="1" x14ac:dyDescent="0.3">
      <c r="A32" s="29" t="s">
        <v>97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V32" s="33">
        <f t="shared" ref="V32:X32" si="110">V63/V64</f>
        <v>0</v>
      </c>
      <c r="W32" s="33">
        <f t="shared" si="110"/>
        <v>0</v>
      </c>
      <c r="X32" s="33">
        <f t="shared" si="110"/>
        <v>-0.21263387654205429</v>
      </c>
      <c r="Y32" s="33">
        <f>Y63/Y64</f>
        <v>-7.8256553387306194E-2</v>
      </c>
    </row>
    <row r="33" spans="1:25" s="30" customFormat="1" x14ac:dyDescent="0.3">
      <c r="A33" s="29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X33" s="33"/>
      <c r="Y33" s="33"/>
    </row>
    <row r="34" spans="1:25" s="35" customFormat="1" x14ac:dyDescent="0.3">
      <c r="A34" s="34" t="s">
        <v>93</v>
      </c>
      <c r="C34" s="35">
        <f t="shared" ref="C34:E34" si="111">C35-C36</f>
        <v>873.83599999999979</v>
      </c>
      <c r="D34" s="35">
        <f t="shared" si="111"/>
        <v>0</v>
      </c>
      <c r="E34" s="35">
        <f t="shared" si="111"/>
        <v>0</v>
      </c>
      <c r="F34" s="35">
        <f t="shared" ref="F34:H34" si="112">F35-F36</f>
        <v>0</v>
      </c>
      <c r="G34" s="35">
        <f t="shared" ref="G34" si="113">G35-G36</f>
        <v>746.70099999999991</v>
      </c>
      <c r="H34" s="35">
        <f t="shared" si="112"/>
        <v>0</v>
      </c>
      <c r="I34" s="35">
        <f t="shared" ref="I34" si="114">I35-I36</f>
        <v>0</v>
      </c>
      <c r="J34" s="35">
        <f t="shared" ref="J34" si="115">J35-J36</f>
        <v>0</v>
      </c>
      <c r="K34" s="35">
        <f t="shared" ref="K34:N34" si="116">K35-K36</f>
        <v>1046.8050000000001</v>
      </c>
      <c r="L34" s="35">
        <f t="shared" si="116"/>
        <v>0</v>
      </c>
      <c r="M34" s="35">
        <f t="shared" si="116"/>
        <v>0</v>
      </c>
      <c r="N34" s="35">
        <f t="shared" si="116"/>
        <v>0</v>
      </c>
      <c r="O34" s="35">
        <f>O35-O36</f>
        <v>1680.5610000000001</v>
      </c>
      <c r="P34" s="35">
        <f t="shared" ref="P34:S34" si="117">P35-P36</f>
        <v>0</v>
      </c>
      <c r="Q34" s="35">
        <f t="shared" si="117"/>
        <v>0</v>
      </c>
      <c r="R34" s="35">
        <f t="shared" si="117"/>
        <v>0</v>
      </c>
      <c r="S34" s="35">
        <f t="shared" si="117"/>
        <v>0</v>
      </c>
      <c r="V34" s="35">
        <f t="shared" ref="V34" si="118">V35-V36</f>
        <v>873.83599999999979</v>
      </c>
      <c r="W34" s="35">
        <f t="shared" ref="W34" si="119">W35-W36</f>
        <v>746.70099999999991</v>
      </c>
      <c r="X34" s="35">
        <f t="shared" ref="X34" si="120">X35-X36</f>
        <v>1046.8050000000001</v>
      </c>
      <c r="Y34" s="35">
        <f>Y35-Y36</f>
        <v>1680.5610000000001</v>
      </c>
    </row>
    <row r="35" spans="1:25" s="30" customFormat="1" x14ac:dyDescent="0.3">
      <c r="A35" s="29" t="s">
        <v>3</v>
      </c>
      <c r="C35" s="30">
        <f t="shared" ref="C35:F35" si="121">C37+C38</f>
        <v>1517.4589999999998</v>
      </c>
      <c r="D35" s="30">
        <f t="shared" si="121"/>
        <v>0</v>
      </c>
      <c r="E35" s="30">
        <f t="shared" si="121"/>
        <v>0</v>
      </c>
      <c r="F35" s="30">
        <f t="shared" si="121"/>
        <v>0</v>
      </c>
      <c r="G35" s="30">
        <f t="shared" ref="G35:J35" si="122">G37+G38</f>
        <v>1554.4459999999999</v>
      </c>
      <c r="H35" s="30">
        <f t="shared" si="122"/>
        <v>0</v>
      </c>
      <c r="I35" s="30">
        <f t="shared" si="122"/>
        <v>0</v>
      </c>
      <c r="J35" s="30">
        <f t="shared" si="122"/>
        <v>0</v>
      </c>
      <c r="K35" s="30">
        <f t="shared" ref="K35:N35" si="123">K37+K38</f>
        <v>1884.326</v>
      </c>
      <c r="L35" s="30">
        <f t="shared" si="123"/>
        <v>0</v>
      </c>
      <c r="M35" s="30">
        <f t="shared" si="123"/>
        <v>0</v>
      </c>
      <c r="N35" s="30">
        <f t="shared" si="123"/>
        <v>0</v>
      </c>
      <c r="O35" s="30">
        <f>O37+O38</f>
        <v>2582.8980000000001</v>
      </c>
      <c r="P35" s="30">
        <f t="shared" ref="P35:S35" si="124">P37+P38</f>
        <v>0</v>
      </c>
      <c r="Q35" s="30">
        <f t="shared" si="124"/>
        <v>0</v>
      </c>
      <c r="R35" s="30">
        <f t="shared" si="124"/>
        <v>0</v>
      </c>
      <c r="S35" s="30">
        <f t="shared" si="124"/>
        <v>0</v>
      </c>
      <c r="V35" s="30">
        <f t="shared" ref="V35" si="125">V37+V38</f>
        <v>1517.4589999999998</v>
      </c>
      <c r="W35" s="30">
        <f t="shared" ref="W35" si="126">W37+W38</f>
        <v>1554.4459999999999</v>
      </c>
      <c r="X35" s="30">
        <f t="shared" ref="X35" si="127">X37+X38</f>
        <v>1884.326</v>
      </c>
      <c r="Y35" s="30">
        <f>Y37+Y38</f>
        <v>2582.8980000000001</v>
      </c>
    </row>
    <row r="36" spans="1:25" s="37" customFormat="1" ht="15" thickBot="1" x14ac:dyDescent="0.35">
      <c r="A36" s="36" t="s">
        <v>4</v>
      </c>
      <c r="C36" s="37">
        <f t="shared" ref="C36:F36" si="128">C55+C56+C52</f>
        <v>643.62300000000005</v>
      </c>
      <c r="D36" s="37">
        <f t="shared" si="128"/>
        <v>0</v>
      </c>
      <c r="E36" s="37">
        <f t="shared" si="128"/>
        <v>0</v>
      </c>
      <c r="F36" s="37">
        <f t="shared" si="128"/>
        <v>0</v>
      </c>
      <c r="G36" s="37">
        <f t="shared" ref="G36:J36" si="129">G55+G56+G52</f>
        <v>807.745</v>
      </c>
      <c r="H36" s="37">
        <f t="shared" si="129"/>
        <v>0</v>
      </c>
      <c r="I36" s="37">
        <f t="shared" si="129"/>
        <v>0</v>
      </c>
      <c r="J36" s="37">
        <f t="shared" si="129"/>
        <v>0</v>
      </c>
      <c r="K36" s="37">
        <f t="shared" ref="K36:N36" si="130">K55+K56+K52</f>
        <v>837.52099999999996</v>
      </c>
      <c r="L36" s="37">
        <f t="shared" si="130"/>
        <v>0</v>
      </c>
      <c r="M36" s="37">
        <f t="shared" si="130"/>
        <v>0</v>
      </c>
      <c r="N36" s="37">
        <f t="shared" si="130"/>
        <v>0</v>
      </c>
      <c r="O36" s="37">
        <f>O55+O56+O52</f>
        <v>902.3370000000001</v>
      </c>
      <c r="P36" s="37">
        <f t="shared" ref="P36:S36" si="131">P55+P56+P52</f>
        <v>0</v>
      </c>
      <c r="Q36" s="37">
        <f t="shared" si="131"/>
        <v>0</v>
      </c>
      <c r="R36" s="37">
        <f t="shared" si="131"/>
        <v>0</v>
      </c>
      <c r="S36" s="37">
        <f t="shared" si="131"/>
        <v>0</v>
      </c>
      <c r="V36" s="37">
        <f t="shared" ref="V36" si="132">V55+V56+V52</f>
        <v>643.62300000000005</v>
      </c>
      <c r="W36" s="37">
        <f t="shared" ref="W36" si="133">W55+W56+W52</f>
        <v>807.745</v>
      </c>
      <c r="X36" s="37">
        <f t="shared" ref="X36" si="134">X55+X56+X52</f>
        <v>837.52099999999996</v>
      </c>
      <c r="Y36" s="37">
        <f>Y55+Y56+Y52</f>
        <v>902.3370000000001</v>
      </c>
    </row>
    <row r="37" spans="1:25" s="3" customFormat="1" x14ac:dyDescent="0.3">
      <c r="A37" s="5" t="s">
        <v>69</v>
      </c>
      <c r="C37" s="3">
        <v>224.92699999999999</v>
      </c>
      <c r="G37" s="3">
        <v>270.97300000000001</v>
      </c>
      <c r="K37" s="3">
        <v>338.98500000000001</v>
      </c>
      <c r="O37" s="3">
        <v>330.339</v>
      </c>
      <c r="V37" s="3">
        <v>224.92699999999999</v>
      </c>
      <c r="W37" s="3">
        <v>270.97300000000001</v>
      </c>
      <c r="X37" s="3">
        <v>338.98500000000001</v>
      </c>
      <c r="Y37" s="3">
        <v>330.339</v>
      </c>
    </row>
    <row r="38" spans="1:25" s="3" customFormat="1" x14ac:dyDescent="0.3">
      <c r="A38" s="5" t="s">
        <v>70</v>
      </c>
      <c r="C38" s="3">
        <v>1292.5319999999999</v>
      </c>
      <c r="G38" s="3">
        <v>1283.473</v>
      </c>
      <c r="K38" s="3">
        <v>1545.3409999999999</v>
      </c>
      <c r="O38" s="3">
        <v>2252.5590000000002</v>
      </c>
      <c r="V38" s="3">
        <v>1292.5319999999999</v>
      </c>
      <c r="W38" s="3">
        <v>1283.473</v>
      </c>
      <c r="X38" s="3">
        <v>1545.3409999999999</v>
      </c>
      <c r="Y38" s="3">
        <v>2252.5590000000002</v>
      </c>
    </row>
    <row r="39" spans="1:25" s="3" customFormat="1" x14ac:dyDescent="0.3">
      <c r="A39" s="5" t="s">
        <v>71</v>
      </c>
      <c r="C39" s="3">
        <v>163.35900000000001</v>
      </c>
      <c r="G39" s="3">
        <v>268.82400000000001</v>
      </c>
      <c r="K39" s="3">
        <v>399.55099999999999</v>
      </c>
      <c r="O39" s="3">
        <v>509.279</v>
      </c>
      <c r="V39" s="3">
        <v>163.35900000000001</v>
      </c>
      <c r="W39" s="3">
        <v>268.82400000000001</v>
      </c>
      <c r="X39" s="3">
        <v>399.55099999999999</v>
      </c>
      <c r="Y39" s="3">
        <v>509.279</v>
      </c>
    </row>
    <row r="40" spans="1:25" s="3" customFormat="1" x14ac:dyDescent="0.3">
      <c r="A40" s="5" t="s">
        <v>72</v>
      </c>
      <c r="C40" s="3">
        <v>13.638</v>
      </c>
      <c r="G40" s="3">
        <v>23.234999999999999</v>
      </c>
      <c r="K40" s="3">
        <v>33.054000000000002</v>
      </c>
      <c r="O40" s="3">
        <v>44.938000000000002</v>
      </c>
      <c r="V40" s="3">
        <v>13.638</v>
      </c>
      <c r="W40" s="3">
        <v>23.234999999999999</v>
      </c>
      <c r="X40" s="3">
        <v>33.054000000000002</v>
      </c>
      <c r="Y40" s="3">
        <v>44.938000000000002</v>
      </c>
    </row>
    <row r="41" spans="1:25" s="3" customFormat="1" x14ac:dyDescent="0.3">
      <c r="A41" s="5" t="s">
        <v>73</v>
      </c>
      <c r="C41" s="3">
        <v>23.623999999999999</v>
      </c>
      <c r="G41" s="3">
        <v>24.443000000000001</v>
      </c>
      <c r="K41" s="3">
        <v>27.303000000000001</v>
      </c>
      <c r="O41" s="3">
        <v>41.021999999999998</v>
      </c>
      <c r="V41" s="3">
        <v>23.623999999999999</v>
      </c>
      <c r="W41" s="3">
        <v>24.443000000000001</v>
      </c>
      <c r="X41" s="3">
        <v>27.303000000000001</v>
      </c>
      <c r="Y41" s="3">
        <v>41.021999999999998</v>
      </c>
    </row>
    <row r="42" spans="1:25" s="23" customFormat="1" x14ac:dyDescent="0.3">
      <c r="A42" s="22" t="s">
        <v>74</v>
      </c>
      <c r="C42" s="23">
        <f t="shared" ref="C42:E42" si="135">SUM(C37:C41)</f>
        <v>1718.0799999999997</v>
      </c>
      <c r="D42" s="23">
        <f t="shared" si="135"/>
        <v>0</v>
      </c>
      <c r="E42" s="23">
        <f t="shared" si="135"/>
        <v>0</v>
      </c>
      <c r="F42" s="23">
        <f t="shared" ref="F42:H42" si="136">SUM(F37:F41)</f>
        <v>0</v>
      </c>
      <c r="G42" s="23">
        <f t="shared" ref="G42" si="137">SUM(G37:G41)</f>
        <v>1870.9479999999999</v>
      </c>
      <c r="H42" s="23">
        <f t="shared" si="136"/>
        <v>0</v>
      </c>
      <c r="I42" s="23">
        <f t="shared" ref="I42" si="138">SUM(I37:I41)</f>
        <v>0</v>
      </c>
      <c r="J42" s="23">
        <f t="shared" ref="J42" si="139">SUM(J37:J41)</f>
        <v>0</v>
      </c>
      <c r="K42" s="23">
        <f t="shared" ref="K42:N42" si="140">SUM(K37:K41)</f>
        <v>2344.2339999999999</v>
      </c>
      <c r="L42" s="23">
        <f t="shared" si="140"/>
        <v>0</v>
      </c>
      <c r="M42" s="23">
        <f t="shared" si="140"/>
        <v>0</v>
      </c>
      <c r="N42" s="23">
        <f t="shared" si="140"/>
        <v>0</v>
      </c>
      <c r="O42" s="23">
        <f>SUM(O37:O41)</f>
        <v>3178.1370000000002</v>
      </c>
      <c r="P42" s="23">
        <f t="shared" ref="P42:S42" si="141">SUM(P37:P41)</f>
        <v>0</v>
      </c>
      <c r="Q42" s="23">
        <f t="shared" si="141"/>
        <v>0</v>
      </c>
      <c r="R42" s="23">
        <f t="shared" si="141"/>
        <v>0</v>
      </c>
      <c r="S42" s="23">
        <f t="shared" si="141"/>
        <v>0</v>
      </c>
      <c r="V42" s="23">
        <f t="shared" ref="V42" si="142">SUM(V37:V41)</f>
        <v>1718.0799999999997</v>
      </c>
      <c r="W42" s="23">
        <f t="shared" ref="W42" si="143">SUM(W37:W41)</f>
        <v>1870.9479999999999</v>
      </c>
      <c r="X42" s="23">
        <f t="shared" ref="X42" si="144">SUM(X37:X41)</f>
        <v>2344.2339999999999</v>
      </c>
      <c r="Y42" s="23">
        <f>SUM(Y37:Y41)</f>
        <v>3178.1370000000002</v>
      </c>
    </row>
    <row r="43" spans="1:25" s="3" customFormat="1" x14ac:dyDescent="0.3">
      <c r="A43" s="5" t="s">
        <v>75</v>
      </c>
      <c r="C43" s="3">
        <v>47.197000000000003</v>
      </c>
      <c r="G43" s="3">
        <v>75.152000000000001</v>
      </c>
      <c r="K43" s="3">
        <v>125.346</v>
      </c>
      <c r="O43" s="3">
        <v>171.87200000000001</v>
      </c>
      <c r="V43" s="3">
        <v>47.197000000000003</v>
      </c>
      <c r="W43" s="3">
        <v>75.152000000000001</v>
      </c>
      <c r="X43" s="3">
        <v>125.346</v>
      </c>
      <c r="Y43" s="3">
        <v>171.87200000000001</v>
      </c>
    </row>
    <row r="44" spans="1:25" s="3" customFormat="1" x14ac:dyDescent="0.3">
      <c r="A44" s="5" t="s">
        <v>76</v>
      </c>
      <c r="C44" s="3">
        <v>57.829000000000001</v>
      </c>
      <c r="G44" s="3">
        <v>61.354999999999997</v>
      </c>
      <c r="K44" s="3">
        <v>87.629000000000005</v>
      </c>
      <c r="O44" s="3">
        <v>126.562</v>
      </c>
      <c r="V44" s="3">
        <v>57.829000000000001</v>
      </c>
      <c r="W44" s="3">
        <v>61.354999999999997</v>
      </c>
      <c r="X44" s="3">
        <v>87.629000000000005</v>
      </c>
      <c r="Y44" s="3">
        <v>126.562</v>
      </c>
    </row>
    <row r="45" spans="1:25" s="3" customFormat="1" x14ac:dyDescent="0.3">
      <c r="A45" s="5" t="s">
        <v>77</v>
      </c>
      <c r="C45" s="3">
        <f>17.609+2.069</f>
        <v>19.678000000000001</v>
      </c>
      <c r="G45" s="3">
        <f>292.176+15.704</f>
        <v>307.88</v>
      </c>
      <c r="K45" s="3">
        <f>348.277+16.365</f>
        <v>364.642</v>
      </c>
      <c r="O45" s="3">
        <f>352.694+9.617</f>
        <v>362.31100000000004</v>
      </c>
      <c r="V45" s="3">
        <f>17.609+2.069</f>
        <v>19.678000000000001</v>
      </c>
      <c r="W45" s="3">
        <f>292.176+15.704</f>
        <v>307.88</v>
      </c>
      <c r="X45" s="3">
        <f>348.277+16.365</f>
        <v>364.642</v>
      </c>
      <c r="Y45" s="3">
        <f>352.694+9.617</f>
        <v>362.31100000000004</v>
      </c>
    </row>
    <row r="46" spans="1:25" s="3" customFormat="1" x14ac:dyDescent="0.3">
      <c r="A46" s="5" t="s">
        <v>78</v>
      </c>
      <c r="C46" s="3">
        <v>26.75</v>
      </c>
      <c r="G46" s="3">
        <v>42.061999999999998</v>
      </c>
      <c r="K46" s="3">
        <v>55.338000000000001</v>
      </c>
      <c r="O46" s="3">
        <v>73.727999999999994</v>
      </c>
      <c r="V46" s="3">
        <v>26.75</v>
      </c>
      <c r="W46" s="3">
        <v>42.061999999999998</v>
      </c>
      <c r="X46" s="3">
        <v>55.338000000000001</v>
      </c>
      <c r="Y46" s="3">
        <v>73.727999999999994</v>
      </c>
    </row>
    <row r="47" spans="1:25" s="3" customFormat="1" x14ac:dyDescent="0.3">
      <c r="A47" s="5" t="s">
        <v>79</v>
      </c>
      <c r="C47" s="3">
        <v>3.7839999999999998</v>
      </c>
      <c r="G47" s="3">
        <v>3.49</v>
      </c>
      <c r="K47" s="3">
        <v>3.3029999999999999</v>
      </c>
      <c r="O47" s="3">
        <v>0</v>
      </c>
      <c r="V47" s="3">
        <v>3.7839999999999998</v>
      </c>
      <c r="W47" s="3">
        <v>3.49</v>
      </c>
      <c r="X47" s="3">
        <v>3.3029999999999999</v>
      </c>
      <c r="Y47" s="3">
        <v>0</v>
      </c>
    </row>
    <row r="48" spans="1:25" s="3" customFormat="1" x14ac:dyDescent="0.3">
      <c r="A48" s="5" t="s">
        <v>80</v>
      </c>
      <c r="C48" s="3">
        <v>16.966999999999999</v>
      </c>
      <c r="G48" s="3">
        <v>19.907</v>
      </c>
      <c r="K48" s="3">
        <v>24.36</v>
      </c>
      <c r="O48" s="3">
        <v>23.462</v>
      </c>
      <c r="V48" s="3">
        <v>16.966999999999999</v>
      </c>
      <c r="W48" s="3">
        <v>19.907</v>
      </c>
      <c r="X48" s="3">
        <v>24.36</v>
      </c>
      <c r="Y48" s="3">
        <v>23.462</v>
      </c>
    </row>
    <row r="49" spans="1:25" s="23" customFormat="1" x14ac:dyDescent="0.3">
      <c r="A49" s="22" t="s">
        <v>81</v>
      </c>
      <c r="C49" s="23">
        <f t="shared" ref="C49:E49" si="145">SUM(C43:C48)+C42</f>
        <v>1890.2849999999996</v>
      </c>
      <c r="D49" s="23">
        <f t="shared" si="145"/>
        <v>0</v>
      </c>
      <c r="E49" s="23">
        <f t="shared" si="145"/>
        <v>0</v>
      </c>
      <c r="F49" s="23">
        <f t="shared" ref="F49:H49" si="146">SUM(F43:F48)+F42</f>
        <v>0</v>
      </c>
      <c r="G49" s="23">
        <f t="shared" ref="G49" si="147">SUM(G43:G48)+G42</f>
        <v>2380.7939999999999</v>
      </c>
      <c r="H49" s="23">
        <f t="shared" si="146"/>
        <v>0</v>
      </c>
      <c r="I49" s="23">
        <f t="shared" ref="I49" si="148">SUM(I43:I48)+I42</f>
        <v>0</v>
      </c>
      <c r="J49" s="23">
        <f t="shared" ref="J49" si="149">SUM(J43:J48)+J42</f>
        <v>0</v>
      </c>
      <c r="K49" s="23">
        <f t="shared" ref="K49:N49" si="150">SUM(K43:K48)+K42</f>
        <v>3004.8519999999999</v>
      </c>
      <c r="L49" s="23">
        <f t="shared" si="150"/>
        <v>0</v>
      </c>
      <c r="M49" s="23">
        <f t="shared" si="150"/>
        <v>0</v>
      </c>
      <c r="N49" s="23">
        <f t="shared" si="150"/>
        <v>0</v>
      </c>
      <c r="O49" s="23">
        <f>SUM(O43:O48)+O42</f>
        <v>3936.0720000000001</v>
      </c>
      <c r="P49" s="23">
        <f t="shared" ref="P49:S49" si="151">SUM(P43:P48)+P42</f>
        <v>0</v>
      </c>
      <c r="Q49" s="23">
        <f t="shared" si="151"/>
        <v>0</v>
      </c>
      <c r="R49" s="23">
        <f t="shared" si="151"/>
        <v>0</v>
      </c>
      <c r="S49" s="23">
        <f t="shared" si="151"/>
        <v>0</v>
      </c>
      <c r="V49" s="23">
        <f t="shared" ref="V49" si="152">SUM(V43:V48)+V42</f>
        <v>1890.2849999999996</v>
      </c>
      <c r="W49" s="23">
        <f t="shared" ref="W49" si="153">SUM(W43:W48)+W42</f>
        <v>2380.7939999999999</v>
      </c>
      <c r="X49" s="23">
        <f t="shared" ref="X49" si="154">SUM(X43:X48)+X42</f>
        <v>3004.8519999999999</v>
      </c>
      <c r="Y49" s="23">
        <f>SUM(Y43:Y48)+Y42</f>
        <v>3936.0720000000001</v>
      </c>
    </row>
    <row r="50" spans="1:25" s="3" customFormat="1" x14ac:dyDescent="0.3">
      <c r="A50" s="5" t="s">
        <v>82</v>
      </c>
      <c r="C50" s="3">
        <v>21.341999999999999</v>
      </c>
      <c r="G50" s="3">
        <v>25.27</v>
      </c>
      <c r="K50" s="3">
        <v>23.474</v>
      </c>
      <c r="O50" s="3">
        <v>87.712000000000003</v>
      </c>
      <c r="V50" s="3">
        <v>21.341999999999999</v>
      </c>
      <c r="W50" s="3">
        <v>25.27</v>
      </c>
      <c r="X50" s="3">
        <v>23.474</v>
      </c>
      <c r="Y50" s="3">
        <v>87.712000000000003</v>
      </c>
    </row>
    <row r="51" spans="1:25" s="3" customFormat="1" x14ac:dyDescent="0.3">
      <c r="A51" s="5" t="s">
        <v>83</v>
      </c>
      <c r="C51" s="3">
        <v>55.350999999999999</v>
      </c>
      <c r="G51" s="3">
        <v>111.28400000000001</v>
      </c>
      <c r="K51" s="3">
        <v>171.15799999999999</v>
      </c>
      <c r="O51" s="3">
        <v>127.631</v>
      </c>
      <c r="V51" s="3">
        <v>55.350999999999999</v>
      </c>
      <c r="W51" s="3">
        <v>111.28400000000001</v>
      </c>
      <c r="X51" s="3">
        <v>171.15799999999999</v>
      </c>
      <c r="Y51" s="3">
        <v>127.631</v>
      </c>
    </row>
    <row r="52" spans="1:25" s="3" customFormat="1" x14ac:dyDescent="0.3">
      <c r="A52" s="5" t="s">
        <v>84</v>
      </c>
      <c r="C52" s="3">
        <v>16.326000000000001</v>
      </c>
      <c r="G52" s="3">
        <v>20.157</v>
      </c>
      <c r="K52" s="3">
        <v>22.091999999999999</v>
      </c>
      <c r="O52" s="3">
        <v>21.974</v>
      </c>
      <c r="V52" s="3">
        <v>16.326000000000001</v>
      </c>
      <c r="W52" s="3">
        <v>20.157</v>
      </c>
      <c r="X52" s="3">
        <v>22.091999999999999</v>
      </c>
      <c r="Y52" s="3">
        <v>21.974</v>
      </c>
    </row>
    <row r="53" spans="1:25" s="3" customFormat="1" x14ac:dyDescent="0.3">
      <c r="A53" s="5" t="s">
        <v>85</v>
      </c>
      <c r="C53" s="3">
        <v>204.82499999999999</v>
      </c>
      <c r="G53" s="3">
        <v>371.98500000000001</v>
      </c>
      <c r="K53" s="3">
        <v>543.024</v>
      </c>
      <c r="O53" s="3">
        <v>765.73500000000001</v>
      </c>
      <c r="V53" s="3">
        <v>204.82499999999999</v>
      </c>
      <c r="W53" s="3">
        <v>371.98500000000001</v>
      </c>
      <c r="X53" s="3">
        <v>543.024</v>
      </c>
      <c r="Y53" s="3">
        <v>765.73500000000001</v>
      </c>
    </row>
    <row r="54" spans="1:25" s="23" customFormat="1" x14ac:dyDescent="0.3">
      <c r="A54" s="22" t="s">
        <v>86</v>
      </c>
      <c r="C54" s="23">
        <f t="shared" ref="C54:E54" si="155">SUM(C50:C53)</f>
        <v>297.84399999999999</v>
      </c>
      <c r="D54" s="23">
        <f t="shared" si="155"/>
        <v>0</v>
      </c>
      <c r="E54" s="23">
        <f t="shared" si="155"/>
        <v>0</v>
      </c>
      <c r="F54" s="23">
        <f t="shared" ref="F54:H54" si="156">SUM(F50:F53)</f>
        <v>0</v>
      </c>
      <c r="G54" s="23">
        <f t="shared" ref="G54" si="157">SUM(G50:G53)</f>
        <v>528.69600000000003</v>
      </c>
      <c r="H54" s="23">
        <f t="shared" si="156"/>
        <v>0</v>
      </c>
      <c r="I54" s="23">
        <f t="shared" ref="I54" si="158">SUM(I50:I53)</f>
        <v>0</v>
      </c>
      <c r="J54" s="23">
        <f t="shared" ref="J54" si="159">SUM(J50:J53)</f>
        <v>0</v>
      </c>
      <c r="K54" s="23">
        <f t="shared" ref="K54:N54" si="160">SUM(K50:K53)</f>
        <v>759.74800000000005</v>
      </c>
      <c r="L54" s="23">
        <f t="shared" si="160"/>
        <v>0</v>
      </c>
      <c r="M54" s="23">
        <f t="shared" si="160"/>
        <v>0</v>
      </c>
      <c r="N54" s="23">
        <f t="shared" si="160"/>
        <v>0</v>
      </c>
      <c r="O54" s="23">
        <f>SUM(O50:O53)</f>
        <v>1003.052</v>
      </c>
      <c r="P54" s="23">
        <f t="shared" ref="P54:S54" si="161">SUM(P50:P53)</f>
        <v>0</v>
      </c>
      <c r="Q54" s="23">
        <f t="shared" si="161"/>
        <v>0</v>
      </c>
      <c r="R54" s="23">
        <f t="shared" si="161"/>
        <v>0</v>
      </c>
      <c r="S54" s="23">
        <f t="shared" si="161"/>
        <v>0</v>
      </c>
      <c r="V54" s="23">
        <f t="shared" ref="V54" si="162">SUM(V50:V53)</f>
        <v>297.84399999999999</v>
      </c>
      <c r="W54" s="23">
        <f t="shared" ref="W54" si="163">SUM(W50:W53)</f>
        <v>528.69600000000003</v>
      </c>
      <c r="X54" s="23">
        <f t="shared" ref="X54" si="164">SUM(X50:X53)</f>
        <v>759.74800000000005</v>
      </c>
      <c r="Y54" s="23">
        <f>SUM(Y50:Y53)</f>
        <v>1003.052</v>
      </c>
    </row>
    <row r="55" spans="1:25" s="3" customFormat="1" x14ac:dyDescent="0.3">
      <c r="A55" s="5" t="s">
        <v>76</v>
      </c>
      <c r="C55" s="3">
        <v>51.433</v>
      </c>
      <c r="G55" s="3">
        <v>52.106000000000002</v>
      </c>
      <c r="K55" s="3">
        <v>76.581999999999994</v>
      </c>
      <c r="O55" s="3">
        <v>138.12799999999999</v>
      </c>
      <c r="V55" s="3">
        <v>51.433</v>
      </c>
      <c r="W55" s="3">
        <v>52.106000000000002</v>
      </c>
      <c r="X55" s="3">
        <v>76.581999999999994</v>
      </c>
      <c r="Y55" s="3">
        <v>138.12799999999999</v>
      </c>
    </row>
    <row r="56" spans="1:25" s="3" customFormat="1" x14ac:dyDescent="0.3">
      <c r="A56" s="5" t="s">
        <v>87</v>
      </c>
      <c r="C56" s="3">
        <v>575.86400000000003</v>
      </c>
      <c r="G56" s="3">
        <v>735.48199999999997</v>
      </c>
      <c r="K56" s="3">
        <v>738.84699999999998</v>
      </c>
      <c r="O56" s="3">
        <v>742.23500000000001</v>
      </c>
      <c r="V56" s="3">
        <v>575.86400000000003</v>
      </c>
      <c r="W56" s="3">
        <v>735.48199999999997</v>
      </c>
      <c r="X56" s="3">
        <v>738.84699999999998</v>
      </c>
      <c r="Y56" s="3">
        <v>742.23500000000001</v>
      </c>
    </row>
    <row r="57" spans="1:25" s="3" customFormat="1" x14ac:dyDescent="0.3">
      <c r="A57" s="5" t="s">
        <v>88</v>
      </c>
      <c r="C57" s="3">
        <v>3.45</v>
      </c>
      <c r="G57" s="3">
        <v>13.896000000000001</v>
      </c>
      <c r="K57" s="3">
        <v>12.944000000000001</v>
      </c>
      <c r="O57" s="3">
        <v>21.21</v>
      </c>
      <c r="V57" s="3">
        <v>3.45</v>
      </c>
      <c r="W57" s="3">
        <v>13.896000000000001</v>
      </c>
      <c r="X57" s="3">
        <v>12.944000000000001</v>
      </c>
      <c r="Y57" s="3">
        <v>21.21</v>
      </c>
    </row>
    <row r="58" spans="1:25" s="3" customFormat="1" x14ac:dyDescent="0.3">
      <c r="A58" s="5" t="s">
        <v>89</v>
      </c>
      <c r="C58" s="3">
        <v>4.2619999999999996</v>
      </c>
      <c r="G58" s="3">
        <v>9.4109999999999996</v>
      </c>
      <c r="K58" s="3">
        <v>6.226</v>
      </c>
      <c r="O58" s="3">
        <v>6.093</v>
      </c>
      <c r="V58" s="3">
        <v>4.2619999999999996</v>
      </c>
      <c r="W58" s="3">
        <v>9.4109999999999996</v>
      </c>
      <c r="X58" s="3">
        <v>6.226</v>
      </c>
      <c r="Y58" s="3">
        <v>6.093</v>
      </c>
    </row>
    <row r="59" spans="1:25" s="23" customFormat="1" x14ac:dyDescent="0.3">
      <c r="A59" s="22" t="s">
        <v>90</v>
      </c>
      <c r="C59" s="23">
        <f t="shared" ref="C59:E59" si="165">SUM(C55:C58)+C54</f>
        <v>932.85300000000007</v>
      </c>
      <c r="D59" s="23">
        <f t="shared" si="165"/>
        <v>0</v>
      </c>
      <c r="E59" s="23">
        <f t="shared" si="165"/>
        <v>0</v>
      </c>
      <c r="F59" s="23">
        <f t="shared" ref="F59:H59" si="166">SUM(F55:F58)+F54</f>
        <v>0</v>
      </c>
      <c r="G59" s="23">
        <f t="shared" ref="G59" si="167">SUM(G55:G58)+G54</f>
        <v>1339.5909999999999</v>
      </c>
      <c r="H59" s="23">
        <f t="shared" si="166"/>
        <v>0</v>
      </c>
      <c r="I59" s="23">
        <f t="shared" ref="I59" si="168">SUM(I55:I58)+I54</f>
        <v>0</v>
      </c>
      <c r="J59" s="23">
        <f t="shared" ref="J59" si="169">SUM(J55:J58)+J54</f>
        <v>0</v>
      </c>
      <c r="K59" s="23">
        <f t="shared" ref="K59:N59" si="170">SUM(K55:K58)+K54</f>
        <v>1594.347</v>
      </c>
      <c r="L59" s="23">
        <f t="shared" si="170"/>
        <v>0</v>
      </c>
      <c r="M59" s="23">
        <f t="shared" si="170"/>
        <v>0</v>
      </c>
      <c r="N59" s="23">
        <f t="shared" si="170"/>
        <v>0</v>
      </c>
      <c r="O59" s="23">
        <f>SUM(O55:O58)+O54</f>
        <v>1910.7180000000001</v>
      </c>
      <c r="P59" s="23">
        <f t="shared" ref="P59:S59" si="171">SUM(P55:P58)+P54</f>
        <v>0</v>
      </c>
      <c r="Q59" s="23">
        <f t="shared" si="171"/>
        <v>0</v>
      </c>
      <c r="R59" s="23">
        <f t="shared" si="171"/>
        <v>0</v>
      </c>
      <c r="S59" s="23">
        <f t="shared" si="171"/>
        <v>0</v>
      </c>
      <c r="V59" s="23">
        <f t="shared" ref="V59" si="172">SUM(V55:V58)+V54</f>
        <v>932.85300000000007</v>
      </c>
      <c r="W59" s="23">
        <f t="shared" ref="W59" si="173">SUM(W55:W58)+W54</f>
        <v>1339.5909999999999</v>
      </c>
      <c r="X59" s="23">
        <f t="shared" ref="X59" si="174">SUM(X55:X58)+X54</f>
        <v>1594.347</v>
      </c>
      <c r="Y59" s="23">
        <f>SUM(Y55:Y58)+Y54</f>
        <v>1910.7180000000001</v>
      </c>
    </row>
    <row r="60" spans="1:25" s="3" customFormat="1" x14ac:dyDescent="0.3">
      <c r="A60" s="5" t="s">
        <v>91</v>
      </c>
      <c r="C60" s="3">
        <v>957.43200000000002</v>
      </c>
      <c r="G60" s="3">
        <v>1041.203</v>
      </c>
      <c r="K60" s="3">
        <v>1410.5050000000001</v>
      </c>
      <c r="O60" s="3">
        <v>2025.354</v>
      </c>
      <c r="V60" s="3">
        <v>957.43200000000002</v>
      </c>
      <c r="W60" s="3">
        <v>1041.203</v>
      </c>
      <c r="X60" s="3">
        <v>1410.5050000000001</v>
      </c>
      <c r="Y60" s="3">
        <v>2025.354</v>
      </c>
    </row>
    <row r="61" spans="1:25" s="23" customFormat="1" x14ac:dyDescent="0.3">
      <c r="A61" s="22" t="s">
        <v>92</v>
      </c>
      <c r="C61" s="23">
        <f t="shared" ref="C61:E61" si="175">C60+C59</f>
        <v>1890.2850000000001</v>
      </c>
      <c r="D61" s="23">
        <f t="shared" si="175"/>
        <v>0</v>
      </c>
      <c r="E61" s="23">
        <f t="shared" si="175"/>
        <v>0</v>
      </c>
      <c r="F61" s="23">
        <f t="shared" ref="F61:H61" si="176">F60+F59</f>
        <v>0</v>
      </c>
      <c r="G61" s="23">
        <f t="shared" ref="G61" si="177">G60+G59</f>
        <v>2380.7939999999999</v>
      </c>
      <c r="H61" s="23">
        <f t="shared" si="176"/>
        <v>0</v>
      </c>
      <c r="I61" s="23">
        <f t="shared" ref="I61" si="178">I60+I59</f>
        <v>0</v>
      </c>
      <c r="J61" s="23">
        <f t="shared" ref="J61" si="179">J60+J59</f>
        <v>0</v>
      </c>
      <c r="K61" s="23">
        <f t="shared" ref="K61:N61" si="180">K60+K59</f>
        <v>3004.8519999999999</v>
      </c>
      <c r="L61" s="23">
        <f t="shared" si="180"/>
        <v>0</v>
      </c>
      <c r="M61" s="23">
        <f t="shared" si="180"/>
        <v>0</v>
      </c>
      <c r="N61" s="23">
        <f t="shared" si="180"/>
        <v>0</v>
      </c>
      <c r="O61" s="23">
        <f>O60+O59</f>
        <v>3936.0720000000001</v>
      </c>
      <c r="P61" s="23">
        <f t="shared" ref="P61:S61" si="181">P60+P59</f>
        <v>0</v>
      </c>
      <c r="Q61" s="23">
        <f t="shared" si="181"/>
        <v>0</v>
      </c>
      <c r="R61" s="23">
        <f t="shared" si="181"/>
        <v>0</v>
      </c>
      <c r="S61" s="23">
        <f t="shared" si="181"/>
        <v>0</v>
      </c>
      <c r="V61" s="23">
        <f t="shared" ref="V61" si="182">V60+V59</f>
        <v>1890.2850000000001</v>
      </c>
      <c r="W61" s="23">
        <f t="shared" ref="W61" si="183">W60+W59</f>
        <v>2380.7939999999999</v>
      </c>
      <c r="X61" s="23">
        <f t="shared" ref="X61" si="184">X60+X59</f>
        <v>3004.8519999999999</v>
      </c>
      <c r="Y61" s="23">
        <f>Y60+Y59</f>
        <v>3936.0720000000001</v>
      </c>
    </row>
    <row r="63" spans="1:25" x14ac:dyDescent="0.3">
      <c r="A63" s="6" t="s">
        <v>98</v>
      </c>
      <c r="X63" s="38">
        <f>X10*(1-X27)</f>
        <v>-77.33494089834511</v>
      </c>
      <c r="Y63" s="38">
        <f>Y10*(1-Y27)</f>
        <v>-26.982311812069472</v>
      </c>
    </row>
    <row r="64" spans="1:25" x14ac:dyDescent="0.3">
      <c r="A64" s="6" t="s">
        <v>99</v>
      </c>
      <c r="V64" s="3">
        <f>V36+V60-V35</f>
        <v>83.596000000000231</v>
      </c>
      <c r="W64" s="3">
        <f>W36+W60-W35</f>
        <v>294.50199999999995</v>
      </c>
      <c r="X64" s="3">
        <f>X36+X60-X35</f>
        <v>363.69999999999982</v>
      </c>
      <c r="Y64" s="3">
        <f>Y36+Y60-Y35</f>
        <v>344.79300000000012</v>
      </c>
    </row>
    <row r="65" spans="1:25" x14ac:dyDescent="0.3">
      <c r="A65" s="6" t="s">
        <v>100</v>
      </c>
      <c r="V65" s="3">
        <f t="shared" ref="V65:X65" si="185">V49-V54</f>
        <v>1592.4409999999996</v>
      </c>
      <c r="W65" s="3">
        <f t="shared" si="185"/>
        <v>1852.098</v>
      </c>
      <c r="X65" s="3">
        <f t="shared" si="185"/>
        <v>2245.1039999999998</v>
      </c>
      <c r="Y65" s="3">
        <f>Y49-Y54</f>
        <v>2933.02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2024-06-03T23:37:32Z</dcterms:modified>
</cp:coreProperties>
</file>