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869" documentId="8_{9B5F7287-2B32-4A51-A520-387E63C79D15}" xr6:coauthVersionLast="47" xr6:coauthVersionMax="47" xr10:uidLastSave="{ED410365-3453-40FF-B569-EA87C7C34390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0" i="1" l="1"/>
  <c r="AO42" i="1" s="1"/>
  <c r="AO43" i="1" s="1"/>
  <c r="AO44" i="1" s="1"/>
  <c r="AN20" i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AM20" i="1"/>
  <c r="P36" i="1"/>
  <c r="O36" i="1"/>
  <c r="N36" i="1"/>
  <c r="M36" i="1"/>
  <c r="L36" i="1"/>
  <c r="P35" i="1"/>
  <c r="P34" i="1" s="1"/>
  <c r="O35" i="1"/>
  <c r="O34" i="1" s="1"/>
  <c r="N35" i="1"/>
  <c r="N34" i="1" s="1"/>
  <c r="M35" i="1"/>
  <c r="L35" i="1"/>
  <c r="M34" i="1"/>
  <c r="L34" i="1"/>
  <c r="Q34" i="1"/>
  <c r="Q36" i="1"/>
  <c r="Q35" i="1"/>
  <c r="AB22" i="1" l="1"/>
  <c r="T4" i="1"/>
  <c r="T3" i="1"/>
  <c r="S4" i="1"/>
  <c r="S3" i="1"/>
  <c r="R19" i="1"/>
  <c r="T5" i="1"/>
  <c r="T8" i="1" s="1"/>
  <c r="R4" i="1"/>
  <c r="AB4" i="1" s="1"/>
  <c r="AC4" i="1" s="1"/>
  <c r="AD4" i="1" s="1"/>
  <c r="AE4" i="1" s="1"/>
  <c r="AF4" i="1" s="1"/>
  <c r="AG4" i="1" s="1"/>
  <c r="R3" i="1"/>
  <c r="Y22" i="1"/>
  <c r="Y19" i="1"/>
  <c r="Y17" i="1"/>
  <c r="Y15" i="1"/>
  <c r="Y14" i="1"/>
  <c r="Y13" i="1"/>
  <c r="Y12" i="1"/>
  <c r="Y11" i="1"/>
  <c r="Y10" i="1"/>
  <c r="Y9" i="1"/>
  <c r="Y8" i="1"/>
  <c r="Y7" i="1"/>
  <c r="Y6" i="1"/>
  <c r="Y4" i="1"/>
  <c r="Y3" i="1"/>
  <c r="E5" i="1"/>
  <c r="E29" i="1" s="1"/>
  <c r="G5" i="1"/>
  <c r="G16" i="1" s="1"/>
  <c r="G18" i="1" s="1"/>
  <c r="G20" i="1" s="1"/>
  <c r="G21" i="1" s="1"/>
  <c r="F5" i="1"/>
  <c r="F16" i="1" s="1"/>
  <c r="H5" i="1"/>
  <c r="H16" i="1" s="1"/>
  <c r="H18" i="1" s="1"/>
  <c r="H20" i="1" s="1"/>
  <c r="H21" i="1" s="1"/>
  <c r="Z22" i="1"/>
  <c r="Z19" i="1"/>
  <c r="Z17" i="1"/>
  <c r="Z12" i="1"/>
  <c r="Z11" i="1"/>
  <c r="Z8" i="1"/>
  <c r="Z7" i="1"/>
  <c r="Z6" i="1"/>
  <c r="Z4" i="1"/>
  <c r="Z3" i="1"/>
  <c r="AA22" i="1"/>
  <c r="AA19" i="1"/>
  <c r="AA17" i="1"/>
  <c r="AA12" i="1"/>
  <c r="AA11" i="1"/>
  <c r="AA8" i="1"/>
  <c r="AA7" i="1"/>
  <c r="AA6" i="1"/>
  <c r="AA4" i="1"/>
  <c r="AA3" i="1"/>
  <c r="M61" i="1"/>
  <c r="L61" i="1"/>
  <c r="M58" i="1"/>
  <c r="L58" i="1"/>
  <c r="M55" i="1"/>
  <c r="L55" i="1"/>
  <c r="M47" i="1"/>
  <c r="L47" i="1"/>
  <c r="J5" i="1"/>
  <c r="J16" i="1" s="1"/>
  <c r="J18" i="1" s="1"/>
  <c r="J20" i="1" s="1"/>
  <c r="J21" i="1" s="1"/>
  <c r="K5" i="1"/>
  <c r="K16" i="1" s="1"/>
  <c r="K18" i="1" s="1"/>
  <c r="K20" i="1" s="1"/>
  <c r="K21" i="1" s="1"/>
  <c r="O5" i="1"/>
  <c r="O16" i="1" s="1"/>
  <c r="O18" i="1" s="1"/>
  <c r="O20" i="1" s="1"/>
  <c r="O21" i="1" s="1"/>
  <c r="O24" i="1" s="1"/>
  <c r="L5" i="1"/>
  <c r="L26" i="1" s="1"/>
  <c r="P5" i="1"/>
  <c r="P16" i="1" s="1"/>
  <c r="P18" i="1" s="1"/>
  <c r="P20" i="1" s="1"/>
  <c r="P21" i="1" s="1"/>
  <c r="P24" i="1" s="1"/>
  <c r="L6" i="2"/>
  <c r="L8" i="2" s="1"/>
  <c r="M5" i="1"/>
  <c r="M16" i="1" s="1"/>
  <c r="M18" i="1" s="1"/>
  <c r="M20" i="1" s="1"/>
  <c r="M21" i="1" s="1"/>
  <c r="Q5" i="1"/>
  <c r="Q16" i="1" s="1"/>
  <c r="Q18" i="1" s="1"/>
  <c r="Q20" i="1" s="1"/>
  <c r="Q21" i="1" s="1"/>
  <c r="Q24" i="1" s="1"/>
  <c r="P61" i="1"/>
  <c r="O61" i="1"/>
  <c r="N61" i="1"/>
  <c r="P58" i="1"/>
  <c r="O58" i="1"/>
  <c r="N58" i="1"/>
  <c r="P55" i="1"/>
  <c r="O55" i="1"/>
  <c r="N55" i="1"/>
  <c r="P47" i="1"/>
  <c r="O47" i="1"/>
  <c r="N47" i="1"/>
  <c r="Q58" i="1"/>
  <c r="Q61" i="1"/>
  <c r="Q55" i="1"/>
  <c r="Q47" i="1"/>
  <c r="N5" i="1"/>
  <c r="N16" i="1" s="1"/>
  <c r="I5" i="1"/>
  <c r="I16" i="1" s="1"/>
  <c r="I32" i="1" s="1"/>
  <c r="L4" i="2"/>
  <c r="AB3" i="1" l="1"/>
  <c r="AC3" i="1" s="1"/>
  <c r="AD3" i="1" s="1"/>
  <c r="AE3" i="1" s="1"/>
  <c r="T26" i="1"/>
  <c r="AB5" i="1"/>
  <c r="R5" i="1"/>
  <c r="S5" i="1"/>
  <c r="T27" i="1" s="1"/>
  <c r="S19" i="1"/>
  <c r="T19" i="1" s="1"/>
  <c r="AH4" i="1"/>
  <c r="AI4" i="1" s="1"/>
  <c r="AJ4" i="1" s="1"/>
  <c r="AK4" i="1" s="1"/>
  <c r="AL4" i="1" s="1"/>
  <c r="T11" i="1"/>
  <c r="T6" i="1"/>
  <c r="T29" i="1" s="1"/>
  <c r="T12" i="1"/>
  <c r="T7" i="1"/>
  <c r="G30" i="1"/>
  <c r="K27" i="1"/>
  <c r="J26" i="1"/>
  <c r="G32" i="1"/>
  <c r="Y5" i="1"/>
  <c r="Y29" i="1" s="1"/>
  <c r="F32" i="1"/>
  <c r="F30" i="1"/>
  <c r="F18" i="1"/>
  <c r="F20" i="1" s="1"/>
  <c r="F27" i="1"/>
  <c r="F29" i="1"/>
  <c r="G27" i="1"/>
  <c r="G29" i="1"/>
  <c r="G31" i="1"/>
  <c r="E16" i="1"/>
  <c r="E18" i="1" s="1"/>
  <c r="H27" i="1"/>
  <c r="H29" i="1"/>
  <c r="H31" i="1"/>
  <c r="I27" i="1"/>
  <c r="I26" i="1"/>
  <c r="J27" i="1"/>
  <c r="K26" i="1"/>
  <c r="L27" i="1"/>
  <c r="H30" i="1"/>
  <c r="H32" i="1"/>
  <c r="N62" i="1"/>
  <c r="J30" i="1"/>
  <c r="M62" i="1"/>
  <c r="AA5" i="1"/>
  <c r="Z5" i="1"/>
  <c r="AA16" i="1"/>
  <c r="Q29" i="1"/>
  <c r="O26" i="1"/>
  <c r="Q31" i="1"/>
  <c r="P26" i="1"/>
  <c r="Q32" i="1"/>
  <c r="J29" i="1"/>
  <c r="L62" i="1"/>
  <c r="P29" i="1"/>
  <c r="K30" i="1"/>
  <c r="Q27" i="1"/>
  <c r="J31" i="1"/>
  <c r="M27" i="1"/>
  <c r="K31" i="1"/>
  <c r="L16" i="1"/>
  <c r="L30" i="1" s="1"/>
  <c r="O27" i="1"/>
  <c r="M31" i="1"/>
  <c r="P27" i="1"/>
  <c r="K32" i="1"/>
  <c r="N30" i="1"/>
  <c r="N32" i="1"/>
  <c r="M26" i="1"/>
  <c r="N29" i="1"/>
  <c r="O30" i="1"/>
  <c r="P31" i="1"/>
  <c r="Q30" i="1"/>
  <c r="N26" i="1"/>
  <c r="N27" i="1"/>
  <c r="O29" i="1"/>
  <c r="P30" i="1"/>
  <c r="J32" i="1"/>
  <c r="M32" i="1"/>
  <c r="L29" i="1"/>
  <c r="M30" i="1"/>
  <c r="O32" i="1"/>
  <c r="I29" i="1"/>
  <c r="I30" i="1"/>
  <c r="K29" i="1"/>
  <c r="M29" i="1"/>
  <c r="O31" i="1"/>
  <c r="P32" i="1"/>
  <c r="Q26" i="1"/>
  <c r="Q62" i="1"/>
  <c r="O62" i="1"/>
  <c r="P62" i="1"/>
  <c r="N18" i="1"/>
  <c r="N20" i="1" s="1"/>
  <c r="N31" i="1" s="1"/>
  <c r="I18" i="1"/>
  <c r="L7" i="2"/>
  <c r="AD5" i="1" l="1"/>
  <c r="AD8" i="1" s="1"/>
  <c r="S6" i="1"/>
  <c r="S29" i="1" s="1"/>
  <c r="AC5" i="1"/>
  <c r="S11" i="1"/>
  <c r="S7" i="1"/>
  <c r="S12" i="1"/>
  <c r="T16" i="1"/>
  <c r="T30" i="1" s="1"/>
  <c r="AD11" i="1"/>
  <c r="S8" i="1"/>
  <c r="AC6" i="1"/>
  <c r="AC7" i="1"/>
  <c r="AC12" i="1"/>
  <c r="AC11" i="1"/>
  <c r="AC8" i="1"/>
  <c r="AB19" i="1"/>
  <c r="AD12" i="1"/>
  <c r="AD6" i="1"/>
  <c r="AD29" i="1" s="1"/>
  <c r="AD7" i="1"/>
  <c r="AE5" i="1"/>
  <c r="AF3" i="1"/>
  <c r="S27" i="1"/>
  <c r="S26" i="1"/>
  <c r="R7" i="1"/>
  <c r="AB7" i="1" s="1"/>
  <c r="R6" i="1"/>
  <c r="R27" i="1"/>
  <c r="R26" i="1"/>
  <c r="R12" i="1"/>
  <c r="R11" i="1"/>
  <c r="AB11" i="1" s="1"/>
  <c r="R8" i="1"/>
  <c r="AB8" i="1" s="1"/>
  <c r="AB26" i="1"/>
  <c r="AD26" i="1"/>
  <c r="AC26" i="1"/>
  <c r="AC29" i="1"/>
  <c r="E20" i="1"/>
  <c r="Y18" i="1"/>
  <c r="F31" i="1"/>
  <c r="F21" i="1"/>
  <c r="Z29" i="1"/>
  <c r="Z26" i="1"/>
  <c r="Y16" i="1"/>
  <c r="E32" i="1"/>
  <c r="E30" i="1"/>
  <c r="AA30" i="1"/>
  <c r="AA26" i="1"/>
  <c r="Z16" i="1"/>
  <c r="Z30" i="1" s="1"/>
  <c r="AA18" i="1"/>
  <c r="AA29" i="1"/>
  <c r="I20" i="1"/>
  <c r="I21" i="1" s="1"/>
  <c r="AA20" i="1"/>
  <c r="AA31" i="1" s="1"/>
  <c r="AA32" i="1"/>
  <c r="L18" i="1"/>
  <c r="L20" i="1" s="1"/>
  <c r="L31" i="1" s="1"/>
  <c r="L32" i="1"/>
  <c r="N21" i="1"/>
  <c r="AC16" i="1" l="1"/>
  <c r="AB12" i="1"/>
  <c r="T17" i="1"/>
  <c r="T32" i="1" s="1"/>
  <c r="AD16" i="1"/>
  <c r="AD17" i="1" s="1"/>
  <c r="AD32" i="1" s="1"/>
  <c r="S16" i="1"/>
  <c r="AC19" i="1"/>
  <c r="AD19" i="1"/>
  <c r="AG3" i="1"/>
  <c r="AF5" i="1"/>
  <c r="AE7" i="1"/>
  <c r="AE6" i="1"/>
  <c r="AE26" i="1"/>
  <c r="AE11" i="1"/>
  <c r="AE12" i="1"/>
  <c r="AE8" i="1"/>
  <c r="AB6" i="1"/>
  <c r="R29" i="1"/>
  <c r="R16" i="1"/>
  <c r="AD30" i="1"/>
  <c r="AD18" i="1"/>
  <c r="AC17" i="1"/>
  <c r="AC18" i="1" s="1"/>
  <c r="AC20" i="1" s="1"/>
  <c r="AC30" i="1"/>
  <c r="E21" i="1"/>
  <c r="Y21" i="1" s="1"/>
  <c r="E31" i="1"/>
  <c r="Y20" i="1"/>
  <c r="Y31" i="1" s="1"/>
  <c r="Y30" i="1"/>
  <c r="Y32" i="1"/>
  <c r="Z32" i="1"/>
  <c r="I31" i="1"/>
  <c r="Z18" i="1"/>
  <c r="AA21" i="1"/>
  <c r="N24" i="1"/>
  <c r="L21" i="1"/>
  <c r="Z21" i="1" s="1"/>
  <c r="Z20" i="1"/>
  <c r="Z31" i="1" s="1"/>
  <c r="T18" i="1" l="1"/>
  <c r="T20" i="1" s="1"/>
  <c r="AD20" i="1"/>
  <c r="S30" i="1"/>
  <c r="S17" i="1"/>
  <c r="AE29" i="1"/>
  <c r="AE16" i="1"/>
  <c r="AB29" i="1"/>
  <c r="AB16" i="1"/>
  <c r="AB30" i="1" s="1"/>
  <c r="AH3" i="1"/>
  <c r="AG5" i="1"/>
  <c r="AE19" i="1"/>
  <c r="AF26" i="1"/>
  <c r="AF6" i="1"/>
  <c r="AF29" i="1" s="1"/>
  <c r="AF7" i="1"/>
  <c r="AF8" i="1"/>
  <c r="AF12" i="1"/>
  <c r="AF11" i="1"/>
  <c r="R17" i="1"/>
  <c r="R30" i="1"/>
  <c r="AD21" i="1"/>
  <c r="AD31" i="1"/>
  <c r="AC21" i="1"/>
  <c r="AC31" i="1"/>
  <c r="AC32" i="1"/>
  <c r="T21" i="1" l="1"/>
  <c r="T31" i="1"/>
  <c r="S32" i="1"/>
  <c r="S18" i="1"/>
  <c r="S20" i="1" s="1"/>
  <c r="AG8" i="1"/>
  <c r="AG6" i="1"/>
  <c r="AG12" i="1"/>
  <c r="AG11" i="1"/>
  <c r="AG7" i="1"/>
  <c r="AG26" i="1"/>
  <c r="AH5" i="1"/>
  <c r="AI3" i="1"/>
  <c r="R18" i="1"/>
  <c r="AB17" i="1"/>
  <c r="AB32" i="1" s="1"/>
  <c r="R32" i="1"/>
  <c r="AE17" i="1"/>
  <c r="AE30" i="1"/>
  <c r="AF16" i="1"/>
  <c r="AF19" i="1"/>
  <c r="S31" i="1" l="1"/>
  <c r="S21" i="1"/>
  <c r="AJ3" i="1"/>
  <c r="AI5" i="1"/>
  <c r="AF17" i="1"/>
  <c r="AF32" i="1" s="1"/>
  <c r="AF30" i="1"/>
  <c r="AH7" i="1"/>
  <c r="AH12" i="1"/>
  <c r="AH8" i="1"/>
  <c r="AH6" i="1"/>
  <c r="AH29" i="1" s="1"/>
  <c r="AH11" i="1"/>
  <c r="AH26" i="1"/>
  <c r="AE32" i="1"/>
  <c r="AE18" i="1"/>
  <c r="AE20" i="1" s="1"/>
  <c r="AF18" i="1"/>
  <c r="AF20" i="1" s="1"/>
  <c r="AF21" i="1" s="1"/>
  <c r="R20" i="1"/>
  <c r="AB18" i="1"/>
  <c r="AB20" i="1" s="1"/>
  <c r="AB31" i="1" s="1"/>
  <c r="AG16" i="1"/>
  <c r="AG29" i="1"/>
  <c r="AG19" i="1"/>
  <c r="AH16" i="1" l="1"/>
  <c r="AH30" i="1" s="1"/>
  <c r="R21" i="1"/>
  <c r="AB21" i="1" s="1"/>
  <c r="R31" i="1"/>
  <c r="AH19" i="1"/>
  <c r="AE31" i="1"/>
  <c r="AE21" i="1"/>
  <c r="AF31" i="1"/>
  <c r="AG30" i="1"/>
  <c r="AG17" i="1"/>
  <c r="AG32" i="1" s="1"/>
  <c r="AI12" i="1"/>
  <c r="AI11" i="1"/>
  <c r="AI26" i="1"/>
  <c r="AI7" i="1"/>
  <c r="AI8" i="1"/>
  <c r="AI6" i="1"/>
  <c r="AJ5" i="1"/>
  <c r="AK3" i="1"/>
  <c r="AG18" i="1" l="1"/>
  <c r="AG20" i="1" s="1"/>
  <c r="AG31" i="1" s="1"/>
  <c r="AH17" i="1"/>
  <c r="AH32" i="1" s="1"/>
  <c r="AI19" i="1"/>
  <c r="AJ19" i="1" s="1"/>
  <c r="AK19" i="1" s="1"/>
  <c r="AK5" i="1"/>
  <c r="AL3" i="1"/>
  <c r="AI16" i="1"/>
  <c r="AI29" i="1"/>
  <c r="AJ12" i="1"/>
  <c r="AJ8" i="1"/>
  <c r="AJ11" i="1"/>
  <c r="AJ26" i="1"/>
  <c r="AJ7" i="1"/>
  <c r="AJ6" i="1"/>
  <c r="AJ29" i="1" s="1"/>
  <c r="AG21" i="1" l="1"/>
  <c r="AJ16" i="1"/>
  <c r="AJ17" i="1" s="1"/>
  <c r="AH18" i="1"/>
  <c r="AH20" i="1" s="1"/>
  <c r="AH21" i="1" s="1"/>
  <c r="AL19" i="1"/>
  <c r="AH31" i="1"/>
  <c r="AK12" i="1"/>
  <c r="AK8" i="1"/>
  <c r="AK6" i="1"/>
  <c r="AK29" i="1" s="1"/>
  <c r="AK11" i="1"/>
  <c r="AK26" i="1"/>
  <c r="AK7" i="1"/>
  <c r="AL5" i="1"/>
  <c r="AI30" i="1"/>
  <c r="AI17" i="1"/>
  <c r="AI32" i="1" s="1"/>
  <c r="AJ32" i="1" l="1"/>
  <c r="AJ18" i="1"/>
  <c r="AJ20" i="1" s="1"/>
  <c r="AJ31" i="1" s="1"/>
  <c r="AJ30" i="1"/>
  <c r="AI18" i="1"/>
  <c r="AI20" i="1" s="1"/>
  <c r="AL8" i="1"/>
  <c r="AL6" i="1"/>
  <c r="AL7" i="1"/>
  <c r="AL12" i="1"/>
  <c r="AL11" i="1"/>
  <c r="AL26" i="1"/>
  <c r="AI21" i="1"/>
  <c r="AI31" i="1"/>
  <c r="AK16" i="1"/>
  <c r="AJ21" i="1" l="1"/>
  <c r="AL16" i="1"/>
  <c r="AL29" i="1"/>
  <c r="AK30" i="1"/>
  <c r="AK17" i="1"/>
  <c r="AK32" i="1" s="1"/>
  <c r="AK18" i="1" l="1"/>
  <c r="AK20" i="1" s="1"/>
  <c r="AK31" i="1" s="1"/>
  <c r="AK21" i="1"/>
  <c r="AL17" i="1"/>
  <c r="AL32" i="1" s="1"/>
  <c r="AL30" i="1"/>
  <c r="AL18" i="1"/>
  <c r="AL20" i="1" s="1"/>
  <c r="AL31" i="1" l="1"/>
  <c r="AL21" i="1"/>
</calcChain>
</file>

<file path=xl/sharedStrings.xml><?xml version="1.0" encoding="utf-8"?>
<sst xmlns="http://schemas.openxmlformats.org/spreadsheetml/2006/main" count="106" uniqueCount="102">
  <si>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</si>
  <si>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</si>
  <si>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</si>
  <si>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</si>
  <si>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</si>
  <si>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</si>
  <si>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</si>
  <si>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</si>
  <si>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</si>
  <si>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</si>
  <si>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</si>
  <si>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</si>
  <si>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</si>
  <si>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</si>
  <si>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</si>
  <si>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</si>
  <si>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</si>
  <si>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</si>
  <si>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</si>
  <si>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</si>
  <si>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</si>
  <si>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</si>
  <si>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</si>
  <si>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Q320</t>
  </si>
  <si>
    <t>Q420</t>
  </si>
  <si>
    <t>DFH</t>
  </si>
  <si>
    <t>DREAM FINDERS HOMES</t>
  </si>
  <si>
    <t>Patrick O. Zalupski</t>
  </si>
  <si>
    <t>Design, build and sell homes in high-growth markets using asset-light acquisition strategy.</t>
  </si>
  <si>
    <t>Primary focus is constructing and selling single-family homes across entry-level, first-time</t>
  </si>
  <si>
    <t xml:space="preserve">move-up, second-time move-up, and active adult homes. </t>
  </si>
  <si>
    <r>
      <rPr>
        <b/>
        <sz val="11"/>
        <color theme="1"/>
        <rFont val="Aptos Narrow"/>
        <family val="2"/>
        <scheme val="minor"/>
      </rPr>
      <t>DF Luxury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Craft Homes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Coventry Homes</t>
    </r>
    <r>
      <rPr>
        <sz val="11"/>
        <color theme="1"/>
        <rFont val="Aptos Narrow"/>
        <family val="2"/>
        <scheme val="minor"/>
      </rPr>
      <t>.</t>
    </r>
  </si>
  <si>
    <r>
      <t xml:space="preserve">Our home offerings are marketed under various brands, including </t>
    </r>
    <r>
      <rPr>
        <b/>
        <sz val="11"/>
        <color theme="1"/>
        <rFont val="Aptos Narrow"/>
        <family val="2"/>
        <scheme val="minor"/>
      </rPr>
      <t>Dream Finders Homes</t>
    </r>
    <r>
      <rPr>
        <sz val="11"/>
        <color theme="1"/>
        <rFont val="Aptos Narrow"/>
        <family val="2"/>
        <scheme val="minor"/>
      </rPr>
      <t>,</t>
    </r>
  </si>
  <si>
    <t>Financial services operations that offer title insurance primarily through DF Title LLC,</t>
  </si>
  <si>
    <t>doing business as Golden Dog Title &amp; Trust or Golden Dog Title ("DF Title") and mortgage</t>
  </si>
  <si>
    <t>banking solution primarily through our mortgage banking joint venture, Jet HomeLoans, LP</t>
  </si>
  <si>
    <t>Since breaking ground on the first home on January 1, 2009, 29,500 homes have been</t>
  </si>
  <si>
    <t>closed through December 31, 2023 and has been profitable every year since inception.</t>
  </si>
  <si>
    <t>Homebuilding</t>
  </si>
  <si>
    <t>Other</t>
  </si>
  <si>
    <t>Revenue</t>
  </si>
  <si>
    <t>Homebuilding COGS</t>
  </si>
  <si>
    <t>SG&amp;A</t>
  </si>
  <si>
    <t>Income from unconsolidated entities</t>
  </si>
  <si>
    <t>Contingent consideration revaluation</t>
  </si>
  <si>
    <t>Other income</t>
  </si>
  <si>
    <t>Pretax</t>
  </si>
  <si>
    <t>Taxes</t>
  </si>
  <si>
    <t>Net and comprehensive</t>
  </si>
  <si>
    <t>Attributable to non-controlling interest</t>
  </si>
  <si>
    <t>Attributable to Dream Finders Homes</t>
  </si>
  <si>
    <t>EPS</t>
  </si>
  <si>
    <t xml:space="preserve">Cash </t>
  </si>
  <si>
    <t>Restricted cash</t>
  </si>
  <si>
    <t>A/R</t>
  </si>
  <si>
    <t>Inventories</t>
  </si>
  <si>
    <t>Lot deposits</t>
  </si>
  <si>
    <t>Other assets</t>
  </si>
  <si>
    <t>Investments in entities</t>
  </si>
  <si>
    <t>P&amp;E</t>
  </si>
  <si>
    <t>ROU assets</t>
  </si>
  <si>
    <t>Goodwill</t>
  </si>
  <si>
    <t>Assets</t>
  </si>
  <si>
    <t>A/P</t>
  </si>
  <si>
    <t>Accrued expenses</t>
  </si>
  <si>
    <t>Customer deposits</t>
  </si>
  <si>
    <t>Construction lines of credit</t>
  </si>
  <si>
    <t>Senior unsecured notes</t>
  </si>
  <si>
    <t>Leases</t>
  </si>
  <si>
    <t>Contingent consideration</t>
  </si>
  <si>
    <t>Liabilities</t>
  </si>
  <si>
    <t>SE</t>
  </si>
  <si>
    <t>L+SE</t>
  </si>
  <si>
    <t>Q124</t>
  </si>
  <si>
    <t>Q224</t>
  </si>
  <si>
    <t>Q324</t>
  </si>
  <si>
    <t>Q424</t>
  </si>
  <si>
    <t>Mezzanine preferred stock</t>
  </si>
  <si>
    <t>Mezzanine noncontrolling interest</t>
  </si>
  <si>
    <t>Equity Non-controlling interest</t>
  </si>
  <si>
    <t>Mezzanine equity</t>
  </si>
  <si>
    <t>Total equity</t>
  </si>
  <si>
    <t>Revenue Y/Y</t>
  </si>
  <si>
    <t>Revenue Q/Q</t>
  </si>
  <si>
    <t>Gross Margin %</t>
  </si>
  <si>
    <t>Operating Margin %</t>
  </si>
  <si>
    <t>Net Margin %</t>
  </si>
  <si>
    <t>Tax Rate %</t>
  </si>
  <si>
    <t>Analyst EPS Estimate</t>
  </si>
  <si>
    <t>Surprise/Miss %</t>
  </si>
  <si>
    <t>Gain on sale of assets</t>
  </si>
  <si>
    <t>Loss on extinguishment of debt</t>
  </si>
  <si>
    <t>Other expense</t>
  </si>
  <si>
    <t>Interest expense</t>
  </si>
  <si>
    <t>Paycheck Protection Program</t>
  </si>
  <si>
    <t>Net debt</t>
  </si>
  <si>
    <t>Maturity</t>
  </si>
  <si>
    <t>Discount</t>
  </si>
  <si>
    <t>NPV</t>
  </si>
  <si>
    <t>Value</t>
  </si>
  <si>
    <t>Per share</t>
  </si>
  <si>
    <t>Upside/Downside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</si>
</sst>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4" fontId="0" fillId="0" borderId="0" xfId="0" applyNumberFormat="1"/>
    <xf numFmtId="3" fontId="8" fillId="2" borderId="2" xfId="0" applyNumberFormat="1" applyFont="1" applyFill="1" applyBorder="1"/>
    <xf numFmtId="3" fontId="8" fillId="0" borderId="2" xfId="0" applyNumberFormat="1" applyFont="1" applyBorder="1"/>
    <xf numFmtId="3" fontId="10" fillId="2" borderId="3" xfId="0" applyNumberFormat="1" applyFont="1" applyFill="1" applyBorder="1"/>
    <xf numFmtId="3" fontId="10" fillId="0" borderId="3" xfId="0" applyNumberFormat="1" applyFont="1" applyBorder="1"/>
    <xf numFmtId="9" fontId="10" fillId="0" borderId="3" xfId="0" applyNumberFormat="1" applyFont="1" applyBorder="1"/>
    <xf numFmtId="3" fontId="10" fillId="2" borderId="4" xfId="0" applyNumberFormat="1" applyFont="1" applyFill="1" applyBorder="1"/>
    <xf numFmtId="3" fontId="10" fillId="0" borderId="4" xfId="0" applyNumberFormat="1" applyFont="1" applyBorder="1"/>
    <xf numFmtId="3" fontId="10" fillId="2" borderId="0" xfId="0" applyNumberFormat="1" applyFont="1" applyFill="1"/>
    <xf numFmtId="3" fontId="10" fillId="0" borderId="0" xfId="0" applyNumberFormat="1" applyFont="1"/>
    <xf numFmtId="9" fontId="10" fillId="0" borderId="0" xfId="0" applyNumberFormat="1" applyFont="1"/>
    <xf numFmtId="9" fontId="10" fillId="0" borderId="4" xfId="0" applyNumberFormat="1" applyFont="1" applyBorder="1"/>
    <xf numFmtId="9" fontId="9" fillId="0" borderId="0" xfId="0" applyNumberFormat="1" applyFont="1"/>
    <xf numFmtId="9" fontId="11" fillId="0" borderId="0" xfId="0" applyNumberFormat="1" applyFont="1"/>
    <xf numFmtId="9" fontId="0" fillId="0" borderId="0" xfId="0" applyNumberFormat="1"/>
    <xf numFmtId="164" fontId="10" fillId="0" borderId="3" xfId="0" applyNumberFormat="1" applyFont="1" applyBorder="1"/>
    <xf numFmtId="0" fontId="10" fillId="2" borderId="5" xfId="0" applyFont="1" applyFill="1" applyBorder="1"/>
    <xf numFmtId="0" fontId="10" fillId="0" borderId="5" xfId="0" applyFont="1" applyBorder="1"/>
    <xf numFmtId="3" fontId="10" fillId="0" borderId="5" xfId="0" applyNumberFormat="1" applyFont="1" applyBorder="1"/>
    <xf numFmtId="3" fontId="13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120015</xdr:colOff>
      <xdr:row>2</xdr:row>
      <xdr:rowOff>38100</xdr:rowOff>
    </xdr:from>
    <xdr:to>
      <xdr:col>8</xdr:col>
      <xdr:colOff>499567</xdr:colOff>
      <xdr:row>7</xdr:row>
      <xdr:rowOff>148590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9471A-45B4-0742-7AB0-EC14685A6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00"/>
        <a:stretch/>
      </xdr:blipFill>
      <xdr:spPr bwMode="auto">
        <a:xfrm>
          <a:off x="729615" y="594360"/>
          <a:ext cx="4646752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27</xdr:col>
      <xdr:colOff>0</xdr:colOff>
      <xdr:row>81</xdr:row>
      <xdr:rowOff>180581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548BA0-8B99-4678-8A5F-5F644AB16579}"/>
            </a:ext>
          </a:extLst>
        </xdr:cNvPr>
        <xdr:cNvCxnSpPr/>
      </xdr:nvCxnSpPr>
      <xdr:spPr>
        <a:xfrm>
          <a:off x="18403614" y="268014"/>
          <a:ext cx="0" cy="113425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0</xdr:rowOff>
    </xdr:from>
    <xdr:to>
      <xdr:col>17</xdr:col>
      <xdr:colOff>0</xdr:colOff>
      <xdr:row>81</xdr:row>
      <xdr:rowOff>180581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840E2B8-DBF8-4A50-A2A8-DEF6ABE63F89}"/>
            </a:ext>
          </a:extLst>
        </xdr:cNvPr>
        <xdr:cNvCxnSpPr/>
      </xdr:nvCxnSpPr>
      <xdr:spPr>
        <a:xfrm>
          <a:off x="12055366" y="268014"/>
          <a:ext cx="0" cy="113425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22"/>
  <sheetViews>
    <sheetView workbookViewId="0">
      <selection activeCell="L3" sqref="L3"/>
    </sheetView>
  </sheetViews>
  <sheetFormatPr defaultRowHeight="14.4" x14ac:dyDescent="0.3"/>
  <cols>
    <col min="12" max="12" width="17.88671875" bestFit="1" customWidth="1"/>
    <col min="13" max="13" width="9.109375" customWidth="1"/>
  </cols>
  <sheetData>
    <row r="1" spans="2:12" ht="21" x14ac:dyDescent="0.4">
      <c r="B1" s="9" t="s">
        <v>18</v>
      </c>
      <c r="K1" s="33" t="s">
        <v>25</v>
      </c>
      <c r="L1" s="33"/>
    </row>
    <row r="2" spans="2:12" ht="22.8" x14ac:dyDescent="0.3">
      <c r="B2" s="34" t="s">
        <v>26</v>
      </c>
      <c r="C2" s="34"/>
      <c r="D2" s="34"/>
      <c r="E2" s="34"/>
      <c r="F2" s="34"/>
      <c r="G2" s="34"/>
      <c r="H2" s="34"/>
      <c r="I2" s="34"/>
      <c r="K2" s="1" t="s">
        <v>0</v>
      </c>
      <c r="L2" s="4">
        <v>28.25</v>
      </c>
    </row>
    <row r="3" spans="2:12" x14ac:dyDescent="0.3">
      <c r="K3" s="1" t="s">
        <v>1</v>
      </c>
      <c r="L3" s="2">
        <v>99.935524000000001</v>
      </c>
    </row>
    <row r="4" spans="2:12" x14ac:dyDescent="0.3">
      <c r="K4" s="1" t="s">
        <v>2</v>
      </c>
      <c r="L4" s="2">
        <f>L3*L2</f>
        <v>2823.1785530000002</v>
      </c>
    </row>
    <row r="5" spans="2:12" x14ac:dyDescent="0.3">
      <c r="K5" s="1" t="s">
        <v>3</v>
      </c>
      <c r="L5" s="2">
        <v>239.428</v>
      </c>
    </row>
    <row r="6" spans="2:12" x14ac:dyDescent="0.3">
      <c r="K6" s="1" t="s">
        <v>4</v>
      </c>
      <c r="L6" s="2">
        <f>710.288+294.243+20.842</f>
        <v>1025.373</v>
      </c>
    </row>
    <row r="7" spans="2:12" x14ac:dyDescent="0.3">
      <c r="K7" s="1" t="s">
        <v>5</v>
      </c>
      <c r="L7" s="2">
        <f>L4-L5+L6</f>
        <v>3609.1235530000004</v>
      </c>
    </row>
    <row r="8" spans="2:12" x14ac:dyDescent="0.3">
      <c r="K8" s="1" t="s">
        <v>6</v>
      </c>
      <c r="L8" s="2">
        <f>L5-L6</f>
        <v>-785.94500000000005</v>
      </c>
    </row>
    <row r="9" spans="2:12" x14ac:dyDescent="0.3">
      <c r="K9" s="1"/>
      <c r="L9" s="1"/>
    </row>
    <row r="10" spans="2:12" x14ac:dyDescent="0.3">
      <c r="B10" t="s">
        <v>28</v>
      </c>
      <c r="K10" s="1" t="s">
        <v>7</v>
      </c>
      <c r="L10" s="1" t="s">
        <v>27</v>
      </c>
    </row>
    <row r="11" spans="2:12" x14ac:dyDescent="0.3">
      <c r="B11" t="s">
        <v>29</v>
      </c>
    </row>
    <row r="12" spans="2:12" x14ac:dyDescent="0.3">
      <c r="B12" t="s">
        <v>30</v>
      </c>
    </row>
    <row r="14" spans="2:12" x14ac:dyDescent="0.3">
      <c r="B14" t="s">
        <v>32</v>
      </c>
    </row>
    <row r="15" spans="2:12" x14ac:dyDescent="0.3">
      <c r="B15" t="s">
        <v>31</v>
      </c>
    </row>
    <row r="16" spans="2:12" x14ac:dyDescent="0.3">
      <c r="F16" s="5" t="s">
        <v>17</v>
      </c>
    </row>
    <row r="17" spans="2:2" x14ac:dyDescent="0.3">
      <c r="B17" t="s">
        <v>33</v>
      </c>
    </row>
    <row r="18" spans="2:2" x14ac:dyDescent="0.3">
      <c r="B18" t="s">
        <v>34</v>
      </c>
    </row>
    <row r="19" spans="2:2" x14ac:dyDescent="0.3">
      <c r="B19" t="s">
        <v>35</v>
      </c>
    </row>
    <row r="21" spans="2:2" x14ac:dyDescent="0.3">
      <c r="B21" t="s">
        <v>36</v>
      </c>
    </row>
    <row r="22" spans="2:2" x14ac:dyDescent="0.3">
      <c r="B22" t="s">
        <v>37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FH62"/>
  <sheetViews>
    <sheetView tabSelected="1" zoomScale="115" zoomScaleNormal="115" workbookViewId="0">
      <pane xSplit="1" ySplit="2" topLeftCell="AB21" activePane="bottomRight" state="frozen"/>
      <selection pane="topRight" activeCell="C1" sqref="C1"/>
      <selection pane="bottomLeft" activeCell="A3" sqref="A3"/>
      <selection pane="bottomRight" activeCell="AI39" sqref="AI39"/>
    </sheetView>
  </sheetViews>
  <sheetFormatPr defaultRowHeight="14.4" x14ac:dyDescent="0.3"/>
  <cols>
    <col min="1" max="1" width="32" style="7" customWidth="1"/>
    <col min="16" max="16" width="10.44140625" bestFit="1" customWidth="1"/>
    <col min="17" max="20" width="10.44140625" customWidth="1"/>
    <col min="40" max="40" width="16.6640625" bestFit="1" customWidth="1"/>
  </cols>
  <sheetData>
    <row r="1" spans="1:46" s="7" customFormat="1" ht="21" x14ac:dyDescent="0.4">
      <c r="A1" s="8" t="s">
        <v>16</v>
      </c>
    </row>
    <row r="2" spans="1:46" s="10" customFormat="1" x14ac:dyDescent="0.3">
      <c r="C2" s="10" t="s">
        <v>23</v>
      </c>
      <c r="D2" s="10" t="s">
        <v>24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14</v>
      </c>
      <c r="J2" s="10" t="s">
        <v>15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8</v>
      </c>
      <c r="P2" s="10" t="s">
        <v>9</v>
      </c>
      <c r="Q2" s="10" t="s">
        <v>73</v>
      </c>
      <c r="R2" s="10" t="s">
        <v>74</v>
      </c>
      <c r="S2" s="10" t="s">
        <v>75</v>
      </c>
      <c r="T2" s="10" t="s">
        <v>76</v>
      </c>
      <c r="W2" s="10">
        <v>2019</v>
      </c>
      <c r="X2" s="10">
        <v>2020</v>
      </c>
      <c r="Y2" s="10">
        <v>2021</v>
      </c>
      <c r="Z2" s="10">
        <v>2022</v>
      </c>
      <c r="AA2" s="10">
        <v>2023</v>
      </c>
      <c r="AB2" s="10">
        <v>2024</v>
      </c>
      <c r="AC2" s="10">
        <v>2025</v>
      </c>
      <c r="AD2" s="10">
        <v>2026</v>
      </c>
      <c r="AE2" s="10">
        <v>2027</v>
      </c>
      <c r="AF2" s="10">
        <v>2028</v>
      </c>
      <c r="AG2" s="10">
        <v>2029</v>
      </c>
      <c r="AH2" s="10">
        <v>2030</v>
      </c>
      <c r="AI2" s="10">
        <v>2031</v>
      </c>
      <c r="AJ2" s="10">
        <v>2032</v>
      </c>
      <c r="AK2" s="10">
        <v>2033</v>
      </c>
      <c r="AL2" s="10">
        <v>2034</v>
      </c>
      <c r="AM2" s="10">
        <v>2035</v>
      </c>
      <c r="AN2" s="10">
        <v>2036</v>
      </c>
      <c r="AO2" s="10">
        <v>2037</v>
      </c>
      <c r="AP2" s="10">
        <v>2038</v>
      </c>
      <c r="AQ2" s="10">
        <v>2039</v>
      </c>
      <c r="AR2" s="10">
        <v>2040</v>
      </c>
      <c r="AS2" s="10">
        <v>2041</v>
      </c>
      <c r="AT2" s="10">
        <v>2042</v>
      </c>
    </row>
    <row r="3" spans="1:46" s="3" customFormat="1" x14ac:dyDescent="0.3">
      <c r="A3" s="6" t="s">
        <v>38</v>
      </c>
      <c r="E3" s="3">
        <v>343.56036499999999</v>
      </c>
      <c r="F3" s="3">
        <v>365.27610099999998</v>
      </c>
      <c r="G3" s="3">
        <v>362.98363799999998</v>
      </c>
      <c r="H3" s="3">
        <v>852.09</v>
      </c>
      <c r="I3" s="3">
        <v>662.47299999999996</v>
      </c>
      <c r="J3" s="3">
        <v>791.23</v>
      </c>
      <c r="K3" s="3">
        <v>783.94500000000005</v>
      </c>
      <c r="L3" s="3">
        <v>1096.9110000000001</v>
      </c>
      <c r="M3" s="3">
        <v>767.476</v>
      </c>
      <c r="N3" s="3">
        <v>942.88</v>
      </c>
      <c r="O3" s="3">
        <v>893.50199999999995</v>
      </c>
      <c r="P3" s="3">
        <v>1135.03</v>
      </c>
      <c r="Q3" s="3">
        <v>825.221</v>
      </c>
      <c r="R3" s="3">
        <f>N3*1.15</f>
        <v>1084.3119999999999</v>
      </c>
      <c r="S3" s="3">
        <f>O3*1.14</f>
        <v>1018.5922799999998</v>
      </c>
      <c r="T3" s="3">
        <f>P3*1.04</f>
        <v>1180.4312</v>
      </c>
      <c r="Y3" s="3">
        <f>SUM(E3:H3)</f>
        <v>1923.910104</v>
      </c>
      <c r="Z3" s="3">
        <f>SUM(I3:L3)</f>
        <v>3334.5590000000002</v>
      </c>
      <c r="AA3" s="3">
        <f>SUM(M3:P3)</f>
        <v>3738.8879999999999</v>
      </c>
      <c r="AB3" s="3">
        <f>SUM(Q3:T3)</f>
        <v>4108.5564799999993</v>
      </c>
      <c r="AC3" s="3">
        <f>AB3*1.03</f>
        <v>4231.8131743999993</v>
      </c>
      <c r="AD3" s="3">
        <f>AC3*1.021</f>
        <v>4320.6812510623986</v>
      </c>
      <c r="AE3" s="3">
        <f>AD3*0.98</f>
        <v>4234.2676260411508</v>
      </c>
      <c r="AF3" s="3">
        <f t="shared" ref="AF3:AF4" si="0">AE3*0.98</f>
        <v>4149.5822735203274</v>
      </c>
      <c r="AG3" s="3">
        <f>AF3*1.06</f>
        <v>4398.5572099315468</v>
      </c>
      <c r="AH3" s="3">
        <f>AG3*1.06</f>
        <v>4662.4706425274398</v>
      </c>
      <c r="AI3" s="3">
        <f t="shared" ref="AI3:AK4" si="1">AH3*1.06</f>
        <v>4942.2188810790867</v>
      </c>
      <c r="AJ3" s="3">
        <f t="shared" si="1"/>
        <v>5238.752013943832</v>
      </c>
      <c r="AK3" s="3">
        <f t="shared" si="1"/>
        <v>5553.0771347804621</v>
      </c>
      <c r="AL3" s="3">
        <f>AK3*1.025</f>
        <v>5691.9040631499729</v>
      </c>
    </row>
    <row r="4" spans="1:46" s="3" customFormat="1" x14ac:dyDescent="0.3">
      <c r="A4" s="6" t="s">
        <v>39</v>
      </c>
      <c r="I4" s="3">
        <v>1.593</v>
      </c>
      <c r="J4" s="3">
        <v>1.9039999999999999</v>
      </c>
      <c r="K4" s="3">
        <v>1.724</v>
      </c>
      <c r="L4" s="3">
        <v>2.5550000000000002</v>
      </c>
      <c r="M4" s="3">
        <v>1.944</v>
      </c>
      <c r="N4" s="3">
        <v>2.4590000000000001</v>
      </c>
      <c r="O4" s="3">
        <v>2.3279999999999998</v>
      </c>
      <c r="P4" s="3">
        <v>2.9670000000000001</v>
      </c>
      <c r="Q4" s="3">
        <v>2.5790000000000002</v>
      </c>
      <c r="R4" s="3">
        <f>N4*1.15</f>
        <v>2.8278499999999998</v>
      </c>
      <c r="S4" s="3">
        <f>O4*1.14</f>
        <v>2.6539199999999994</v>
      </c>
      <c r="T4" s="3">
        <f>P4*1.04</f>
        <v>3.08568</v>
      </c>
      <c r="Y4" s="3">
        <f>SUM(E4:H4)</f>
        <v>0</v>
      </c>
      <c r="Z4" s="3">
        <f>SUM(I4:L4)</f>
        <v>7.7759999999999998</v>
      </c>
      <c r="AA4" s="3">
        <f>SUM(M4:P4)</f>
        <v>9.6980000000000004</v>
      </c>
      <c r="AB4" s="3">
        <f>SUM(Q4:T4)</f>
        <v>11.14645</v>
      </c>
      <c r="AC4" s="3">
        <f>AB4*1.03</f>
        <v>11.480843500000001</v>
      </c>
      <c r="AD4" s="3">
        <f>AC4*1.021</f>
        <v>11.721941213499999</v>
      </c>
      <c r="AE4" s="3">
        <f>AD4*0.98</f>
        <v>11.487502389229999</v>
      </c>
      <c r="AF4" s="3">
        <f t="shared" si="0"/>
        <v>11.257752341445398</v>
      </c>
      <c r="AG4" s="3">
        <f>AF4*1.06</f>
        <v>11.933217481932124</v>
      </c>
      <c r="AH4" s="3">
        <f>AG4*1.06</f>
        <v>12.649210530848052</v>
      </c>
      <c r="AI4" s="3">
        <f t="shared" si="1"/>
        <v>13.408163162698935</v>
      </c>
      <c r="AJ4" s="3">
        <f t="shared" si="1"/>
        <v>14.212652952460871</v>
      </c>
      <c r="AK4" s="3">
        <f t="shared" si="1"/>
        <v>15.065412129608525</v>
      </c>
      <c r="AL4" s="3">
        <f>AK4*1.025</f>
        <v>15.442047432848737</v>
      </c>
    </row>
    <row r="5" spans="1:46" s="13" customFormat="1" x14ac:dyDescent="0.3">
      <c r="A5" s="12" t="s">
        <v>40</v>
      </c>
      <c r="E5" s="13">
        <f t="shared" ref="E5:G5" si="2">SUM(E3:E4)</f>
        <v>343.56036499999999</v>
      </c>
      <c r="F5" s="13">
        <f t="shared" si="2"/>
        <v>365.27610099999998</v>
      </c>
      <c r="G5" s="13">
        <f t="shared" si="2"/>
        <v>362.98363799999998</v>
      </c>
      <c r="H5" s="13">
        <f t="shared" ref="H5:R5" si="3">SUM(H3:H4)</f>
        <v>852.09</v>
      </c>
      <c r="I5" s="13">
        <f t="shared" si="3"/>
        <v>664.06599999999992</v>
      </c>
      <c r="J5" s="13">
        <f t="shared" si="3"/>
        <v>793.13400000000001</v>
      </c>
      <c r="K5" s="13">
        <f t="shared" si="3"/>
        <v>785.6690000000001</v>
      </c>
      <c r="L5" s="13">
        <f t="shared" si="3"/>
        <v>1099.4660000000001</v>
      </c>
      <c r="M5" s="13">
        <f t="shared" si="3"/>
        <v>769.42</v>
      </c>
      <c r="N5" s="13">
        <f t="shared" si="3"/>
        <v>945.33899999999994</v>
      </c>
      <c r="O5" s="13">
        <f t="shared" si="3"/>
        <v>895.82999999999993</v>
      </c>
      <c r="P5" s="13">
        <f t="shared" si="3"/>
        <v>1137.9970000000001</v>
      </c>
      <c r="Q5" s="13">
        <f t="shared" si="3"/>
        <v>827.8</v>
      </c>
      <c r="R5" s="13">
        <f t="shared" si="3"/>
        <v>1087.1398499999998</v>
      </c>
      <c r="S5" s="13">
        <f t="shared" ref="S5" si="4">SUM(S3:S4)</f>
        <v>1021.2461999999998</v>
      </c>
      <c r="T5" s="13">
        <f t="shared" ref="T5" si="5">SUM(T3:T4)</f>
        <v>1183.5168799999999</v>
      </c>
      <c r="Y5" s="13">
        <f>SUM(E5:H5)</f>
        <v>1923.910104</v>
      </c>
      <c r="Z5" s="13">
        <f>SUM(I5:L5)</f>
        <v>3342.335</v>
      </c>
      <c r="AA5" s="13">
        <f>SUM(M5:P5)</f>
        <v>3748.5860000000002</v>
      </c>
      <c r="AB5" s="13">
        <f t="shared" ref="AB5:AF5" si="6">SUM(AB3:AB4)</f>
        <v>4119.7029299999995</v>
      </c>
      <c r="AC5" s="13">
        <f t="shared" si="6"/>
        <v>4243.2940178999997</v>
      </c>
      <c r="AD5" s="13">
        <f t="shared" si="6"/>
        <v>4332.4031922758986</v>
      </c>
      <c r="AE5" s="13">
        <f t="shared" si="6"/>
        <v>4245.7551284303809</v>
      </c>
      <c r="AF5" s="13">
        <f t="shared" si="6"/>
        <v>4160.840025861773</v>
      </c>
      <c r="AG5" s="13">
        <f t="shared" ref="AG5" si="7">SUM(AG3:AG4)</f>
        <v>4410.4904274134788</v>
      </c>
      <c r="AH5" s="13">
        <f t="shared" ref="AH5" si="8">SUM(AH3:AH4)</f>
        <v>4675.1198530582878</v>
      </c>
      <c r="AI5" s="13">
        <f t="shared" ref="AI5" si="9">SUM(AI3:AI4)</f>
        <v>4955.6270442417854</v>
      </c>
      <c r="AJ5" s="13">
        <f t="shared" ref="AJ5" si="10">SUM(AJ3:AJ4)</f>
        <v>5252.9646668962932</v>
      </c>
      <c r="AK5" s="13">
        <f t="shared" ref="AK5" si="11">SUM(AK3:AK4)</f>
        <v>5568.1425469100705</v>
      </c>
      <c r="AL5" s="13">
        <f t="shared" ref="AL5" si="12">SUM(AL3:AL4)</f>
        <v>5707.3461105828219</v>
      </c>
    </row>
    <row r="6" spans="1:46" s="3" customFormat="1" x14ac:dyDescent="0.3">
      <c r="A6" s="6" t="s">
        <v>41</v>
      </c>
      <c r="E6" s="3">
        <v>291.03676100000001</v>
      </c>
      <c r="F6" s="3">
        <v>303.58942000000002</v>
      </c>
      <c r="G6" s="3">
        <v>303.38643400000001</v>
      </c>
      <c r="H6" s="3">
        <v>712.31899999999996</v>
      </c>
      <c r="I6" s="3">
        <v>538.86800000000005</v>
      </c>
      <c r="J6" s="3">
        <v>635.42200000000003</v>
      </c>
      <c r="K6" s="3">
        <v>638.45600000000002</v>
      </c>
      <c r="L6" s="3">
        <v>909.39300000000003</v>
      </c>
      <c r="M6" s="3">
        <v>637.34400000000005</v>
      </c>
      <c r="N6" s="3">
        <v>762.85500000000002</v>
      </c>
      <c r="O6" s="3">
        <v>709.28599999999994</v>
      </c>
      <c r="P6" s="3">
        <v>902.32799999999997</v>
      </c>
      <c r="Q6" s="3">
        <v>678.64</v>
      </c>
      <c r="R6" s="3">
        <f>R5*0.808</f>
        <v>878.40899879999984</v>
      </c>
      <c r="S6" s="3">
        <f t="shared" ref="S6:T6" si="13">S5*0.808</f>
        <v>825.16692959999989</v>
      </c>
      <c r="T6" s="3">
        <f t="shared" si="13"/>
        <v>956.28163903999996</v>
      </c>
      <c r="Y6" s="3">
        <f t="shared" ref="Y6:Y21" si="14">SUM(E6:H6)</f>
        <v>1610.3316150000001</v>
      </c>
      <c r="Z6" s="3">
        <f t="shared" ref="Z6:Z12" si="15">SUM(I6:L6)</f>
        <v>2722.1390000000001</v>
      </c>
      <c r="AA6" s="3">
        <f t="shared" ref="AA6:AA12" si="16">SUM(M6:P6)</f>
        <v>3011.8130000000001</v>
      </c>
      <c r="AB6" s="3">
        <f t="shared" ref="AB6:AB8" si="17">SUM(Q6:T6)</f>
        <v>3338.4975674399998</v>
      </c>
      <c r="AC6" s="3">
        <f t="shared" ref="AC6" si="18">AC5*0.808</f>
        <v>3428.5815664632</v>
      </c>
      <c r="AD6" s="3">
        <f>AD5*0.79</f>
        <v>3422.5985218979599</v>
      </c>
      <c r="AE6" s="3">
        <f t="shared" ref="AE6" si="19">AE5*0.808</f>
        <v>3430.570143771748</v>
      </c>
      <c r="AF6" s="3">
        <f>AF5*0.79</f>
        <v>3287.0636204308007</v>
      </c>
      <c r="AG6" s="3">
        <f t="shared" ref="AG6" si="20">AG5*0.808</f>
        <v>3563.6762653500909</v>
      </c>
      <c r="AH6" s="3">
        <f t="shared" ref="AH6" si="21">AH5*0.808</f>
        <v>3777.4968412710969</v>
      </c>
      <c r="AI6" s="3">
        <f t="shared" ref="AI6" si="22">AI5*0.808</f>
        <v>4004.1466517473627</v>
      </c>
      <c r="AJ6" s="3">
        <f t="shared" ref="AJ6" si="23">AJ5*0.808</f>
        <v>4244.3954508522056</v>
      </c>
      <c r="AK6" s="3">
        <f t="shared" ref="AK6" si="24">AK5*0.808</f>
        <v>4499.0591779033375</v>
      </c>
      <c r="AL6" s="3">
        <f t="shared" ref="AL6" si="25">AL5*0.808</f>
        <v>4611.5356573509207</v>
      </c>
    </row>
    <row r="7" spans="1:46" s="3" customFormat="1" x14ac:dyDescent="0.3">
      <c r="A7" s="6" t="s">
        <v>42</v>
      </c>
      <c r="E7" s="3">
        <v>28.148955999999998</v>
      </c>
      <c r="F7" s="3">
        <v>28.686161999999999</v>
      </c>
      <c r="G7" s="3">
        <v>32.434505000000001</v>
      </c>
      <c r="H7" s="3">
        <v>61.045000000000002</v>
      </c>
      <c r="I7" s="3">
        <v>61.71</v>
      </c>
      <c r="J7" s="3">
        <v>66.015000000000001</v>
      </c>
      <c r="K7" s="3">
        <v>68.838999999999999</v>
      </c>
      <c r="L7" s="3">
        <v>74.475999999999999</v>
      </c>
      <c r="M7" s="3">
        <v>60.761000000000003</v>
      </c>
      <c r="N7" s="3">
        <v>73.709000000000003</v>
      </c>
      <c r="O7" s="3">
        <v>79.962999999999994</v>
      </c>
      <c r="P7" s="3">
        <v>94.361999999999995</v>
      </c>
      <c r="Q7" s="3">
        <v>81.793000000000006</v>
      </c>
      <c r="R7" s="3">
        <f>R5*0.0856</f>
        <v>93.059171159999977</v>
      </c>
      <c r="S7" s="3">
        <f t="shared" ref="S7:T7" si="26">S5*0.0856</f>
        <v>87.418674719999984</v>
      </c>
      <c r="T7" s="3">
        <f t="shared" si="26"/>
        <v>101.30904492799999</v>
      </c>
      <c r="Y7" s="3">
        <f t="shared" si="14"/>
        <v>150.31462299999998</v>
      </c>
      <c r="Z7" s="3">
        <f t="shared" si="15"/>
        <v>271.03999999999996</v>
      </c>
      <c r="AA7" s="3">
        <f t="shared" si="16"/>
        <v>308.79499999999996</v>
      </c>
      <c r="AB7" s="3">
        <f t="shared" si="17"/>
        <v>363.57989080799996</v>
      </c>
      <c r="AC7" s="3">
        <f>AC5*0.0759</f>
        <v>322.06601595860997</v>
      </c>
      <c r="AD7" s="3">
        <f>AD5*0.0759</f>
        <v>328.82940229374066</v>
      </c>
      <c r="AE7" s="3">
        <f>AE5*0.0785</f>
        <v>333.29177758178491</v>
      </c>
      <c r="AF7" s="3">
        <f>AF5*0.0785</f>
        <v>326.62594203014919</v>
      </c>
      <c r="AG7" s="3">
        <f t="shared" ref="AG7:AL7" si="27">AG5*0.0856</f>
        <v>377.53798058659379</v>
      </c>
      <c r="AH7" s="3">
        <f t="shared" si="27"/>
        <v>400.19025942178939</v>
      </c>
      <c r="AI7" s="3">
        <f t="shared" si="27"/>
        <v>424.20167498709679</v>
      </c>
      <c r="AJ7" s="3">
        <f t="shared" si="27"/>
        <v>449.65377548632267</v>
      </c>
      <c r="AK7" s="3">
        <f t="shared" si="27"/>
        <v>476.63300201550203</v>
      </c>
      <c r="AL7" s="3">
        <f t="shared" si="27"/>
        <v>488.54882706588955</v>
      </c>
    </row>
    <row r="8" spans="1:46" s="3" customFormat="1" x14ac:dyDescent="0.3">
      <c r="A8" s="6" t="s">
        <v>43</v>
      </c>
      <c r="E8" s="3">
        <v>1.7323930000000001</v>
      </c>
      <c r="F8" s="3">
        <v>1.1250009999999999</v>
      </c>
      <c r="G8" s="3">
        <v>1.37269</v>
      </c>
      <c r="H8" s="3">
        <v>5.1980000000000004</v>
      </c>
      <c r="I8" s="3">
        <v>2.96</v>
      </c>
      <c r="J8" s="3">
        <v>3.3340000000000001</v>
      </c>
      <c r="K8" s="3">
        <v>5.1369999999999996</v>
      </c>
      <c r="L8" s="3">
        <v>4.6909999999999998</v>
      </c>
      <c r="M8" s="3">
        <v>2.9580000000000002</v>
      </c>
      <c r="N8" s="3">
        <v>4.7039999999999997</v>
      </c>
      <c r="O8" s="3">
        <v>4.5570000000000004</v>
      </c>
      <c r="P8" s="3">
        <v>5.8559999999999999</v>
      </c>
      <c r="Q8" s="3">
        <v>4.9029999999999996</v>
      </c>
      <c r="R8" s="3">
        <f>R5*0.005</f>
        <v>5.435699249999999</v>
      </c>
      <c r="S8" s="3">
        <f t="shared" ref="S8:T8" si="28">S5*0.005</f>
        <v>5.1062309999999993</v>
      </c>
      <c r="T8" s="3">
        <f t="shared" si="28"/>
        <v>5.9175844</v>
      </c>
      <c r="Y8" s="3">
        <f t="shared" si="14"/>
        <v>9.4280840000000001</v>
      </c>
      <c r="Z8" s="3">
        <f t="shared" si="15"/>
        <v>16.122</v>
      </c>
      <c r="AA8" s="3">
        <f t="shared" si="16"/>
        <v>18.075000000000003</v>
      </c>
      <c r="AB8" s="3">
        <f t="shared" si="17"/>
        <v>21.362514649999998</v>
      </c>
      <c r="AC8" s="3">
        <f t="shared" ref="AC8:AL8" si="29">AC5*0.005</f>
        <v>21.2164700895</v>
      </c>
      <c r="AD8" s="3">
        <f t="shared" si="29"/>
        <v>21.662015961379492</v>
      </c>
      <c r="AE8" s="3">
        <f t="shared" si="29"/>
        <v>21.228775642151906</v>
      </c>
      <c r="AF8" s="3">
        <f t="shared" si="29"/>
        <v>20.804200129308864</v>
      </c>
      <c r="AG8" s="3">
        <f t="shared" si="29"/>
        <v>22.052452137067394</v>
      </c>
      <c r="AH8" s="3">
        <f t="shared" si="29"/>
        <v>23.375599265291438</v>
      </c>
      <c r="AI8" s="3">
        <f t="shared" si="29"/>
        <v>24.778135221208927</v>
      </c>
      <c r="AJ8" s="3">
        <f t="shared" si="29"/>
        <v>26.264823334481466</v>
      </c>
      <c r="AK8" s="3">
        <f t="shared" si="29"/>
        <v>27.840712734550351</v>
      </c>
      <c r="AL8" s="3">
        <f t="shared" si="29"/>
        <v>28.536730552914111</v>
      </c>
    </row>
    <row r="9" spans="1:46" s="3" customFormat="1" x14ac:dyDescent="0.3">
      <c r="A9" s="6" t="s">
        <v>90</v>
      </c>
      <c r="E9" s="3">
        <v>6.5517000000000006E-2</v>
      </c>
      <c r="F9" s="3">
        <v>-4.8034E-2</v>
      </c>
      <c r="G9" s="3">
        <v>5.5347E-2</v>
      </c>
      <c r="H9" s="3">
        <v>1.4E-2</v>
      </c>
      <c r="Y9" s="3">
        <f t="shared" si="14"/>
        <v>8.6830000000000004E-2</v>
      </c>
    </row>
    <row r="10" spans="1:46" s="3" customFormat="1" x14ac:dyDescent="0.3">
      <c r="A10" s="6" t="s">
        <v>91</v>
      </c>
      <c r="E10" s="3">
        <v>0.69742300000000002</v>
      </c>
      <c r="F10" s="3">
        <v>0</v>
      </c>
      <c r="G10" s="3">
        <v>0</v>
      </c>
      <c r="H10" s="3">
        <v>-1.4E-2</v>
      </c>
      <c r="Y10" s="3">
        <f t="shared" si="14"/>
        <v>0.683423</v>
      </c>
    </row>
    <row r="11" spans="1:46" s="3" customFormat="1" x14ac:dyDescent="0.3">
      <c r="A11" s="6" t="s">
        <v>44</v>
      </c>
      <c r="E11" s="3">
        <v>0</v>
      </c>
      <c r="F11" s="3">
        <v>-3.9769800000000002</v>
      </c>
      <c r="G11" s="3">
        <v>-0.60209000000000001</v>
      </c>
      <c r="H11" s="3">
        <v>-1.7709999999999999</v>
      </c>
      <c r="I11" s="3">
        <v>4.1920000000000002</v>
      </c>
      <c r="J11" s="3">
        <v>5.0419999999999998</v>
      </c>
      <c r="K11" s="3">
        <v>2.641</v>
      </c>
      <c r="L11" s="3">
        <v>-0.82199999999999995</v>
      </c>
      <c r="M11" s="3">
        <v>5.3159999999999998</v>
      </c>
      <c r="N11" s="3">
        <v>18.265999999999998</v>
      </c>
      <c r="O11" s="3">
        <v>9.0259999999999998</v>
      </c>
      <c r="P11" s="3">
        <v>13.981999999999999</v>
      </c>
      <c r="Q11" s="3">
        <v>3.2069999999999999</v>
      </c>
      <c r="R11" s="3">
        <f>R5*0.0105</f>
        <v>11.414968424999998</v>
      </c>
      <c r="S11" s="3">
        <f t="shared" ref="S11:T11" si="30">S5*0.0105</f>
        <v>10.723085099999999</v>
      </c>
      <c r="T11" s="3">
        <f t="shared" si="30"/>
        <v>12.426927239999999</v>
      </c>
      <c r="Y11" s="3">
        <f t="shared" si="14"/>
        <v>-6.3500699999999997</v>
      </c>
      <c r="Z11" s="3">
        <f t="shared" si="15"/>
        <v>11.053000000000001</v>
      </c>
      <c r="AA11" s="3">
        <f t="shared" si="16"/>
        <v>46.589999999999996</v>
      </c>
      <c r="AB11" s="3">
        <f t="shared" ref="AB11:AB12" si="31">SUM(Q11:T11)</f>
        <v>37.771980764999995</v>
      </c>
      <c r="AC11" s="3">
        <f t="shared" ref="AC11:AL11" si="32">AC5*0.0105</f>
        <v>44.554587187949998</v>
      </c>
      <c r="AD11" s="3">
        <f t="shared" si="32"/>
        <v>45.490233518896936</v>
      </c>
      <c r="AE11" s="3">
        <f t="shared" si="32"/>
        <v>44.580428848518999</v>
      </c>
      <c r="AF11" s="3">
        <f t="shared" si="32"/>
        <v>43.688820271548622</v>
      </c>
      <c r="AG11" s="3">
        <f t="shared" si="32"/>
        <v>46.310149487841528</v>
      </c>
      <c r="AH11" s="3">
        <f t="shared" si="32"/>
        <v>49.088758457112029</v>
      </c>
      <c r="AI11" s="3">
        <f t="shared" si="32"/>
        <v>52.034083964538752</v>
      </c>
      <c r="AJ11" s="3">
        <f t="shared" si="32"/>
        <v>55.156129002411085</v>
      </c>
      <c r="AK11" s="3">
        <f t="shared" si="32"/>
        <v>58.465496742555743</v>
      </c>
      <c r="AL11" s="3">
        <f t="shared" si="32"/>
        <v>59.927134161119632</v>
      </c>
    </row>
    <row r="12" spans="1:46" s="3" customFormat="1" x14ac:dyDescent="0.3">
      <c r="A12" s="6" t="s">
        <v>45</v>
      </c>
      <c r="E12" s="3">
        <v>0.48221900000000001</v>
      </c>
      <c r="F12" s="3">
        <v>1.6682630000000001</v>
      </c>
      <c r="G12" s="3">
        <v>4.8497659999999998</v>
      </c>
      <c r="H12" s="3">
        <v>0.82699999999999996</v>
      </c>
      <c r="I12" s="3">
        <v>0.95599999999999996</v>
      </c>
      <c r="J12" s="3">
        <v>0.29099999999999998</v>
      </c>
      <c r="K12" s="3">
        <v>1.119</v>
      </c>
      <c r="L12" s="3">
        <v>0.14699999999999999</v>
      </c>
      <c r="M12" s="3">
        <v>0.43</v>
      </c>
      <c r="N12" s="3">
        <v>0.63500000000000001</v>
      </c>
      <c r="O12" s="3">
        <v>1.6459999999999999</v>
      </c>
      <c r="P12" s="3">
        <v>2.2509999999999999</v>
      </c>
      <c r="Q12" s="3">
        <v>1.7609999999999999</v>
      </c>
      <c r="R12" s="3">
        <f>R5*0.0014</f>
        <v>1.5219957899999996</v>
      </c>
      <c r="S12" s="3">
        <f t="shared" ref="S12:T12" si="33">S5*0.0014</f>
        <v>1.4297446799999998</v>
      </c>
      <c r="T12" s="3">
        <f t="shared" si="33"/>
        <v>1.6569236319999998</v>
      </c>
      <c r="Y12" s="3">
        <f t="shared" si="14"/>
        <v>7.827248</v>
      </c>
      <c r="Z12" s="3">
        <f t="shared" si="15"/>
        <v>2.5129999999999995</v>
      </c>
      <c r="AA12" s="3">
        <f t="shared" si="16"/>
        <v>4.9619999999999997</v>
      </c>
      <c r="AB12" s="3">
        <f t="shared" si="31"/>
        <v>6.3696641019999989</v>
      </c>
      <c r="AC12" s="3">
        <f t="shared" ref="AC12:AL12" si="34">AC5*0.0014</f>
        <v>5.9406116250599998</v>
      </c>
      <c r="AD12" s="3">
        <f t="shared" si="34"/>
        <v>6.0653644691862576</v>
      </c>
      <c r="AE12" s="3">
        <f t="shared" si="34"/>
        <v>5.9440571798025328</v>
      </c>
      <c r="AF12" s="3">
        <f t="shared" si="34"/>
        <v>5.8251760362064822</v>
      </c>
      <c r="AG12" s="3">
        <f t="shared" si="34"/>
        <v>6.1746865983788704</v>
      </c>
      <c r="AH12" s="3">
        <f t="shared" si="34"/>
        <v>6.5451677942816033</v>
      </c>
      <c r="AI12" s="3">
        <f t="shared" si="34"/>
        <v>6.9378778619384995</v>
      </c>
      <c r="AJ12" s="3">
        <f t="shared" si="34"/>
        <v>7.3541505336548108</v>
      </c>
      <c r="AK12" s="3">
        <f t="shared" si="34"/>
        <v>7.7953995656740984</v>
      </c>
      <c r="AL12" s="3">
        <f t="shared" si="34"/>
        <v>7.9902845548159505</v>
      </c>
    </row>
    <row r="13" spans="1:46" s="3" customFormat="1" x14ac:dyDescent="0.3">
      <c r="A13" s="6" t="s">
        <v>94</v>
      </c>
      <c r="E13" s="3">
        <v>0</v>
      </c>
      <c r="F13" s="3">
        <v>7.2197940000000003</v>
      </c>
      <c r="Y13" s="3">
        <f t="shared" si="14"/>
        <v>7.2197940000000003</v>
      </c>
    </row>
    <row r="14" spans="1:46" s="3" customFormat="1" x14ac:dyDescent="0.3">
      <c r="A14" s="6" t="s">
        <v>92</v>
      </c>
      <c r="E14" s="3">
        <v>2.9030480000000001</v>
      </c>
      <c r="F14" s="3">
        <v>2.4347799999999999</v>
      </c>
      <c r="G14" s="3">
        <v>5.1451060000000002</v>
      </c>
      <c r="H14" s="3">
        <v>7.56</v>
      </c>
      <c r="Y14" s="3">
        <f t="shared" si="14"/>
        <v>18.042933999999999</v>
      </c>
    </row>
    <row r="15" spans="1:46" s="3" customFormat="1" x14ac:dyDescent="0.3">
      <c r="A15" s="6" t="s">
        <v>93</v>
      </c>
      <c r="E15" s="3">
        <v>0.64186100000000001</v>
      </c>
      <c r="F15" s="3">
        <v>1.5796000000000001E-2</v>
      </c>
      <c r="G15" s="3">
        <v>0.14496000000000001</v>
      </c>
      <c r="Y15" s="3">
        <f t="shared" si="14"/>
        <v>0.80261700000000002</v>
      </c>
    </row>
    <row r="16" spans="1:46" s="13" customFormat="1" x14ac:dyDescent="0.3">
      <c r="A16" s="12" t="s">
        <v>46</v>
      </c>
      <c r="E16" s="13">
        <f>E5-E6-E7+E8+E9-E10+E12-E14-E15</f>
        <v>22.412444999999984</v>
      </c>
      <c r="F16" s="13">
        <f>F5-F6-F7+F8+F9+F10+F11+F12-F14-F15+F13</f>
        <v>36.537986999999958</v>
      </c>
      <c r="G16" s="13">
        <f>G5-G6-G7+G8+G9+G10+G12+G11-G14-G15</f>
        <v>27.548345999999977</v>
      </c>
      <c r="H16" s="13">
        <f>H5-H6-H7+H8+H9+H10+H12+H11-H14</f>
        <v>75.420000000000059</v>
      </c>
      <c r="I16" s="13">
        <f>I5-I6-I7+I8+I11+I12</f>
        <v>71.595999999999876</v>
      </c>
      <c r="J16" s="13">
        <f t="shared" ref="J16:T16" si="35">J5-J6-J7+J8-J11+J12</f>
        <v>90.279999999999987</v>
      </c>
      <c r="K16" s="13">
        <f t="shared" si="35"/>
        <v>81.989000000000075</v>
      </c>
      <c r="L16" s="13">
        <f t="shared" si="35"/>
        <v>121.2570000000001</v>
      </c>
      <c r="M16" s="13">
        <f t="shared" si="35"/>
        <v>69.386999999999915</v>
      </c>
      <c r="N16" s="13">
        <f t="shared" si="35"/>
        <v>95.847999999999914</v>
      </c>
      <c r="O16" s="13">
        <f t="shared" si="35"/>
        <v>103.758</v>
      </c>
      <c r="P16" s="13">
        <f t="shared" si="35"/>
        <v>135.4320000000001</v>
      </c>
      <c r="Q16" s="13">
        <f t="shared" si="35"/>
        <v>70.82399999999997</v>
      </c>
      <c r="R16" s="13">
        <f t="shared" si="35"/>
        <v>111.21440665499999</v>
      </c>
      <c r="S16" s="13">
        <f t="shared" si="35"/>
        <v>104.47348625999993</v>
      </c>
      <c r="T16" s="13">
        <f t="shared" si="35"/>
        <v>121.07377682399996</v>
      </c>
      <c r="Y16" s="13">
        <f>SUM(E16:H16)</f>
        <v>161.91877799999997</v>
      </c>
      <c r="Z16" s="13">
        <f>SUM(I16:L16)</f>
        <v>365.12200000000007</v>
      </c>
      <c r="AA16" s="13">
        <f>SUM(M16:P16)</f>
        <v>404.42499999999995</v>
      </c>
      <c r="AB16" s="13">
        <f t="shared" ref="AB16:AF16" si="36">AB5-AB6-AB7+AB8-AB11+AB12</f>
        <v>407.58566973899974</v>
      </c>
      <c r="AC16" s="13">
        <f t="shared" si="36"/>
        <v>475.24893000479972</v>
      </c>
      <c r="AD16" s="13">
        <f t="shared" si="36"/>
        <v>563.21241499586677</v>
      </c>
      <c r="AE16" s="13">
        <f t="shared" si="36"/>
        <v>464.48561105028341</v>
      </c>
      <c r="AF16" s="13">
        <f t="shared" si="36"/>
        <v>530.09101929478982</v>
      </c>
      <c r="AG16" s="13">
        <f t="shared" ref="AG16:AL16" si="37">AG5-AG6-AG7+AG8-AG11+AG12</f>
        <v>451.19317072439873</v>
      </c>
      <c r="AH16" s="13">
        <f t="shared" si="37"/>
        <v>478.26476096786257</v>
      </c>
      <c r="AI16" s="13">
        <f t="shared" si="37"/>
        <v>506.96064662593449</v>
      </c>
      <c r="AJ16" s="13">
        <f t="shared" si="37"/>
        <v>537.37828542349007</v>
      </c>
      <c r="AK16" s="13">
        <f t="shared" si="37"/>
        <v>569.62098254889963</v>
      </c>
      <c r="AL16" s="13">
        <f t="shared" si="37"/>
        <v>583.86150711262212</v>
      </c>
    </row>
    <row r="17" spans="1:164" s="3" customFormat="1" x14ac:dyDescent="0.3">
      <c r="A17" s="6" t="s">
        <v>47</v>
      </c>
      <c r="E17" s="3">
        <v>4.8164819999999997</v>
      </c>
      <c r="F17" s="3">
        <v>4.4783169999999997</v>
      </c>
      <c r="G17" s="3">
        <v>4.1107950000000004</v>
      </c>
      <c r="H17" s="3">
        <v>14.048999999999999</v>
      </c>
      <c r="I17" s="3">
        <v>16.878</v>
      </c>
      <c r="J17" s="3">
        <v>23.327000000000002</v>
      </c>
      <c r="K17" s="3">
        <v>10.371</v>
      </c>
      <c r="L17" s="3">
        <v>31.283000000000001</v>
      </c>
      <c r="M17" s="3">
        <v>17.635999999999999</v>
      </c>
      <c r="N17" s="3">
        <v>24.206</v>
      </c>
      <c r="O17" s="3">
        <v>24.158000000000001</v>
      </c>
      <c r="P17" s="3">
        <v>30.483000000000001</v>
      </c>
      <c r="Q17" s="3">
        <v>15.141</v>
      </c>
      <c r="R17" s="3">
        <f>R16*0.23</f>
        <v>25.579313530649998</v>
      </c>
      <c r="S17" s="3">
        <f t="shared" ref="S17:T17" si="38">S16*0.23</f>
        <v>24.028901839799985</v>
      </c>
      <c r="T17" s="3">
        <f t="shared" si="38"/>
        <v>27.846968669519992</v>
      </c>
      <c r="Y17" s="3">
        <f t="shared" si="14"/>
        <v>27.454594</v>
      </c>
      <c r="Z17" s="3">
        <f t="shared" ref="Z17:Z19" si="39">SUM(I17:L17)</f>
        <v>81.859000000000009</v>
      </c>
      <c r="AA17" s="3">
        <f t="shared" ref="AA17:AA19" si="40">SUM(M17:P17)</f>
        <v>96.483000000000004</v>
      </c>
      <c r="AB17" s="3">
        <f t="shared" ref="AB17:AB19" si="41">SUM(Q17:T17)</f>
        <v>92.59618403996997</v>
      </c>
      <c r="AC17" s="3">
        <f>AC16*0.21</f>
        <v>99.802275301007938</v>
      </c>
      <c r="AD17" s="3">
        <f t="shared" ref="AD17:AF17" si="42">AD16*0.21</f>
        <v>118.27460714913201</v>
      </c>
      <c r="AE17" s="3">
        <f t="shared" si="42"/>
        <v>97.541978320559508</v>
      </c>
      <c r="AF17" s="3">
        <f t="shared" si="42"/>
        <v>111.31911405190586</v>
      </c>
      <c r="AG17" s="3">
        <f t="shared" ref="AG17" si="43">AG16*0.21</f>
        <v>94.750565852123728</v>
      </c>
      <c r="AH17" s="3">
        <f t="shared" ref="AH17" si="44">AH16*0.21</f>
        <v>100.43559980325114</v>
      </c>
      <c r="AI17" s="3">
        <f t="shared" ref="AI17" si="45">AI16*0.21</f>
        <v>106.46173579144624</v>
      </c>
      <c r="AJ17" s="3">
        <f t="shared" ref="AJ17" si="46">AJ16*0.21</f>
        <v>112.84943993893292</v>
      </c>
      <c r="AK17" s="3">
        <f t="shared" ref="AK17" si="47">AK16*0.21</f>
        <v>119.62040633526892</v>
      </c>
      <c r="AL17" s="3">
        <f t="shared" ref="AL17" si="48">AL16*0.21</f>
        <v>122.61091649365063</v>
      </c>
    </row>
    <row r="18" spans="1:164" s="3" customFormat="1" x14ac:dyDescent="0.3">
      <c r="A18" s="6" t="s">
        <v>48</v>
      </c>
      <c r="E18" s="3">
        <f t="shared" ref="E18:Q18" si="49">E16-E17</f>
        <v>17.595962999999983</v>
      </c>
      <c r="F18" s="3">
        <f t="shared" si="49"/>
        <v>32.059669999999961</v>
      </c>
      <c r="G18" s="3">
        <f t="shared" si="49"/>
        <v>23.437550999999978</v>
      </c>
      <c r="H18" s="3">
        <f t="shared" si="49"/>
        <v>61.371000000000059</v>
      </c>
      <c r="I18" s="3">
        <f t="shared" si="49"/>
        <v>54.717999999999876</v>
      </c>
      <c r="J18" s="3">
        <f t="shared" si="49"/>
        <v>66.952999999999989</v>
      </c>
      <c r="K18" s="3">
        <f t="shared" si="49"/>
        <v>71.61800000000008</v>
      </c>
      <c r="L18" s="3">
        <f t="shared" si="49"/>
        <v>89.974000000000103</v>
      </c>
      <c r="M18" s="3">
        <f t="shared" si="49"/>
        <v>51.75099999999992</v>
      </c>
      <c r="N18" s="3">
        <f t="shared" si="49"/>
        <v>71.641999999999911</v>
      </c>
      <c r="O18" s="3">
        <f t="shared" si="49"/>
        <v>79.599999999999994</v>
      </c>
      <c r="P18" s="3">
        <f t="shared" si="49"/>
        <v>104.9490000000001</v>
      </c>
      <c r="Q18" s="3">
        <f t="shared" si="49"/>
        <v>55.682999999999971</v>
      </c>
      <c r="R18" s="3">
        <f t="shared" ref="R18" si="50">R16-R17</f>
        <v>85.635093124349993</v>
      </c>
      <c r="S18" s="3">
        <f t="shared" ref="S18" si="51">S16-S17</f>
        <v>80.444584420199945</v>
      </c>
      <c r="T18" s="3">
        <f t="shared" ref="T18" si="52">T16-T17</f>
        <v>93.226808154479968</v>
      </c>
      <c r="Y18" s="3">
        <f t="shared" si="14"/>
        <v>134.46418399999999</v>
      </c>
      <c r="Z18" s="3">
        <f t="shared" si="39"/>
        <v>283.26300000000003</v>
      </c>
      <c r="AA18" s="3">
        <f t="shared" si="40"/>
        <v>307.94199999999989</v>
      </c>
      <c r="AB18" s="3">
        <f t="shared" si="41"/>
        <v>314.98948569902984</v>
      </c>
      <c r="AC18" s="3">
        <f t="shared" ref="AC18" si="53">AC16-AC17</f>
        <v>375.44665470379175</v>
      </c>
      <c r="AD18" s="3">
        <f t="shared" ref="AD18" si="54">AD16-AD17</f>
        <v>444.93780784673476</v>
      </c>
      <c r="AE18" s="3">
        <f t="shared" ref="AE18" si="55">AE16-AE17</f>
        <v>366.9436327297239</v>
      </c>
      <c r="AF18" s="3">
        <f t="shared" ref="AF18" si="56">AF16-AF17</f>
        <v>418.77190524288397</v>
      </c>
      <c r="AG18" s="3">
        <f t="shared" ref="AG18" si="57">AG16-AG17</f>
        <v>356.44260487227501</v>
      </c>
      <c r="AH18" s="3">
        <f t="shared" ref="AH18" si="58">AH16-AH17</f>
        <v>377.82916116461143</v>
      </c>
      <c r="AI18" s="3">
        <f t="shared" ref="AI18" si="59">AI16-AI17</f>
        <v>400.49891083448824</v>
      </c>
      <c r="AJ18" s="3">
        <f t="shared" ref="AJ18" si="60">AJ16-AJ17</f>
        <v>424.52884548455717</v>
      </c>
      <c r="AK18" s="3">
        <f t="shared" ref="AK18" si="61">AK16-AK17</f>
        <v>450.00057621363072</v>
      </c>
      <c r="AL18" s="3">
        <f t="shared" ref="AL18" si="62">AL16-AL17</f>
        <v>461.2505906189715</v>
      </c>
    </row>
    <row r="19" spans="1:164" s="3" customFormat="1" x14ac:dyDescent="0.3">
      <c r="A19" s="6" t="s">
        <v>49</v>
      </c>
      <c r="E19" s="3">
        <v>-1.4753179999999999</v>
      </c>
      <c r="F19" s="3">
        <v>-3.485789</v>
      </c>
      <c r="G19" s="3">
        <v>-4.4325159999999997</v>
      </c>
      <c r="H19" s="3">
        <v>-4.0679999999999996</v>
      </c>
      <c r="I19" s="3">
        <v>-2.6179999999999999</v>
      </c>
      <c r="J19" s="3">
        <v>-3.7469999999999999</v>
      </c>
      <c r="K19" s="3">
        <v>-1.9770000000000001</v>
      </c>
      <c r="L19" s="3">
        <v>-3.6419999999999999</v>
      </c>
      <c r="M19" s="3">
        <v>-2.6619999999999999</v>
      </c>
      <c r="N19" s="3">
        <v>-2.8780000000000001</v>
      </c>
      <c r="O19" s="3">
        <v>-3.5030000000000001</v>
      </c>
      <c r="P19" s="3">
        <v>-2.9990000000000001</v>
      </c>
      <c r="Q19" s="3">
        <v>-1.1890000000000001</v>
      </c>
      <c r="R19" s="3">
        <f>AVERAGE(M19:Q19)</f>
        <v>-2.6461999999999999</v>
      </c>
      <c r="S19" s="3">
        <f t="shared" ref="S19:T19" si="63">AVERAGE(N19:R19)</f>
        <v>-2.6430400000000001</v>
      </c>
      <c r="T19" s="3">
        <f t="shared" si="63"/>
        <v>-2.5960480000000006</v>
      </c>
      <c r="Y19" s="3">
        <f t="shared" si="14"/>
        <v>-13.461622999999999</v>
      </c>
      <c r="Z19" s="3">
        <f t="shared" si="39"/>
        <v>-11.984</v>
      </c>
      <c r="AA19" s="3">
        <f t="shared" si="40"/>
        <v>-12.042</v>
      </c>
      <c r="AB19" s="3">
        <f t="shared" si="41"/>
        <v>-9.0742879999999992</v>
      </c>
      <c r="AC19" s="3">
        <f>AVERAGE(Y19:AB19)</f>
        <v>-11.640477749999999</v>
      </c>
      <c r="AD19" s="3">
        <f t="shared" ref="AD19:AL19" si="64">AVERAGE(Z19:AC19)</f>
        <v>-11.185191437499999</v>
      </c>
      <c r="AE19" s="3">
        <f t="shared" si="64"/>
        <v>-10.985489296874999</v>
      </c>
      <c r="AF19" s="3">
        <f t="shared" si="64"/>
        <v>-10.721361621093749</v>
      </c>
      <c r="AG19" s="3">
        <f t="shared" si="64"/>
        <v>-11.133130026367187</v>
      </c>
      <c r="AH19" s="3">
        <f t="shared" si="64"/>
        <v>-11.006293095458982</v>
      </c>
      <c r="AI19" s="3">
        <f t="shared" si="64"/>
        <v>-10.96156850994873</v>
      </c>
      <c r="AJ19" s="3">
        <f t="shared" si="64"/>
        <v>-10.955588313217163</v>
      </c>
      <c r="AK19" s="3">
        <f t="shared" si="64"/>
        <v>-11.014144986248017</v>
      </c>
      <c r="AL19" s="3">
        <f t="shared" si="64"/>
        <v>-10.984398726218224</v>
      </c>
    </row>
    <row r="20" spans="1:164" s="13" customFormat="1" x14ac:dyDescent="0.3">
      <c r="A20" s="12" t="s">
        <v>50</v>
      </c>
      <c r="E20" s="13">
        <f t="shared" ref="E20:Q20" si="65">E18+E19</f>
        <v>16.120644999999982</v>
      </c>
      <c r="F20" s="13">
        <f t="shared" si="65"/>
        <v>28.573880999999961</v>
      </c>
      <c r="G20" s="13">
        <f t="shared" si="65"/>
        <v>19.005034999999978</v>
      </c>
      <c r="H20" s="13">
        <f t="shared" si="65"/>
        <v>57.303000000000061</v>
      </c>
      <c r="I20" s="13">
        <f t="shared" si="65"/>
        <v>52.099999999999874</v>
      </c>
      <c r="J20" s="13">
        <f t="shared" si="65"/>
        <v>63.205999999999989</v>
      </c>
      <c r="K20" s="13">
        <f t="shared" si="65"/>
        <v>69.641000000000076</v>
      </c>
      <c r="L20" s="13">
        <f t="shared" si="65"/>
        <v>86.332000000000107</v>
      </c>
      <c r="M20" s="13">
        <f t="shared" si="65"/>
        <v>49.08899999999992</v>
      </c>
      <c r="N20" s="13">
        <f t="shared" si="65"/>
        <v>68.763999999999911</v>
      </c>
      <c r="O20" s="13">
        <f t="shared" si="65"/>
        <v>76.096999999999994</v>
      </c>
      <c r="P20" s="13">
        <f t="shared" si="65"/>
        <v>101.9500000000001</v>
      </c>
      <c r="Q20" s="13">
        <f t="shared" si="65"/>
        <v>54.493999999999971</v>
      </c>
      <c r="R20" s="13">
        <f t="shared" ref="R20" si="66">R18+R19</f>
        <v>82.98889312435</v>
      </c>
      <c r="S20" s="13">
        <f t="shared" ref="S20" si="67">S18+S19</f>
        <v>77.801544420199946</v>
      </c>
      <c r="T20" s="13">
        <f t="shared" ref="T20" si="68">T18+T19</f>
        <v>90.630760154479972</v>
      </c>
      <c r="Y20" s="13">
        <f>SUM(E20:H20)</f>
        <v>121.00256099999999</v>
      </c>
      <c r="Z20" s="13">
        <f>SUM(I20:L20)</f>
        <v>271.27900000000005</v>
      </c>
      <c r="AA20" s="13">
        <f>SUM(M20:P20)</f>
        <v>295.89999999999992</v>
      </c>
      <c r="AB20" s="13">
        <f t="shared" ref="AB20" si="69">AB18+AB19</f>
        <v>305.91519769902982</v>
      </c>
      <c r="AC20" s="13">
        <f t="shared" ref="AC20" si="70">AC18+AC19</f>
        <v>363.80617695379175</v>
      </c>
      <c r="AD20" s="13">
        <f t="shared" ref="AD20" si="71">AD18+AD19</f>
        <v>433.75261640923475</v>
      </c>
      <c r="AE20" s="13">
        <f t="shared" ref="AE20" si="72">AE18+AE19</f>
        <v>355.95814343284889</v>
      </c>
      <c r="AF20" s="13">
        <f t="shared" ref="AF20" si="73">AF18+AF19</f>
        <v>408.05054362179021</v>
      </c>
      <c r="AG20" s="13">
        <f t="shared" ref="AG20" si="74">AG18+AG19</f>
        <v>345.3094748459078</v>
      </c>
      <c r="AH20" s="13">
        <f t="shared" ref="AH20" si="75">AH18+AH19</f>
        <v>366.82286806915243</v>
      </c>
      <c r="AI20" s="13">
        <f t="shared" ref="AI20" si="76">AI18+AI19</f>
        <v>389.53734232453951</v>
      </c>
      <c r="AJ20" s="13">
        <f t="shared" ref="AJ20" si="77">AJ18+AJ19</f>
        <v>413.57325717134</v>
      </c>
      <c r="AK20" s="13">
        <f t="shared" ref="AK20" si="78">AK18+AK19</f>
        <v>438.9864312273827</v>
      </c>
      <c r="AL20" s="13">
        <f t="shared" ref="AL20" si="79">AL18+AL19</f>
        <v>450.26619189275328</v>
      </c>
      <c r="AM20" s="13">
        <f>AL20*(1+$AO$38)</f>
        <v>445.76352997382577</v>
      </c>
      <c r="AN20" s="13">
        <f t="shared" ref="AN20:CY20" si="80">AM20*(1+$AO$38)</f>
        <v>441.30589467408748</v>
      </c>
      <c r="AO20" s="13">
        <f t="shared" si="80"/>
        <v>436.89283572734661</v>
      </c>
      <c r="AP20" s="13">
        <f t="shared" si="80"/>
        <v>432.52390737007312</v>
      </c>
      <c r="AQ20" s="13">
        <f t="shared" si="80"/>
        <v>428.19866829637238</v>
      </c>
      <c r="AR20" s="13">
        <f t="shared" si="80"/>
        <v>423.91668161340863</v>
      </c>
      <c r="AS20" s="13">
        <f t="shared" si="80"/>
        <v>419.67751479727451</v>
      </c>
      <c r="AT20" s="13">
        <f t="shared" si="80"/>
        <v>415.48073964930177</v>
      </c>
      <c r="AU20" s="13">
        <f t="shared" si="80"/>
        <v>411.32593225280874</v>
      </c>
      <c r="AV20" s="13">
        <f t="shared" si="80"/>
        <v>407.21267293028063</v>
      </c>
      <c r="AW20" s="13">
        <f t="shared" si="80"/>
        <v>403.14054620097784</v>
      </c>
      <c r="AX20" s="13">
        <f t="shared" si="80"/>
        <v>399.10914073896805</v>
      </c>
      <c r="AY20" s="13">
        <f t="shared" si="80"/>
        <v>395.11804933157839</v>
      </c>
      <c r="AZ20" s="13">
        <f t="shared" si="80"/>
        <v>391.16686883826259</v>
      </c>
      <c r="BA20" s="13">
        <f t="shared" si="80"/>
        <v>387.25520014987995</v>
      </c>
      <c r="BB20" s="13">
        <f t="shared" si="80"/>
        <v>383.38264814838118</v>
      </c>
      <c r="BC20" s="13">
        <f t="shared" si="80"/>
        <v>379.54882166689737</v>
      </c>
      <c r="BD20" s="13">
        <f t="shared" si="80"/>
        <v>375.75333345022841</v>
      </c>
      <c r="BE20" s="13">
        <f t="shared" si="80"/>
        <v>371.99580011572613</v>
      </c>
      <c r="BF20" s="13">
        <f t="shared" si="80"/>
        <v>368.27584211456889</v>
      </c>
      <c r="BG20" s="13">
        <f t="shared" si="80"/>
        <v>364.59308369342318</v>
      </c>
      <c r="BH20" s="13">
        <f t="shared" si="80"/>
        <v>360.94715285648897</v>
      </c>
      <c r="BI20" s="13">
        <f t="shared" si="80"/>
        <v>357.33768132792409</v>
      </c>
      <c r="BJ20" s="13">
        <f t="shared" si="80"/>
        <v>353.76430451464483</v>
      </c>
      <c r="BK20" s="13">
        <f t="shared" si="80"/>
        <v>350.22666146949837</v>
      </c>
      <c r="BL20" s="13">
        <f t="shared" si="80"/>
        <v>346.72439485480339</v>
      </c>
      <c r="BM20" s="13">
        <f t="shared" si="80"/>
        <v>343.25715090625533</v>
      </c>
      <c r="BN20" s="13">
        <f t="shared" si="80"/>
        <v>339.82457939719279</v>
      </c>
      <c r="BO20" s="13">
        <f t="shared" si="80"/>
        <v>336.42633360322088</v>
      </c>
      <c r="BP20" s="13">
        <f t="shared" si="80"/>
        <v>333.06207026718869</v>
      </c>
      <c r="BQ20" s="13">
        <f t="shared" si="80"/>
        <v>329.73144956451682</v>
      </c>
      <c r="BR20" s="13">
        <f t="shared" si="80"/>
        <v>326.43413506887163</v>
      </c>
      <c r="BS20" s="13">
        <f t="shared" si="80"/>
        <v>323.16979371818292</v>
      </c>
      <c r="BT20" s="13">
        <f t="shared" si="80"/>
        <v>319.9380957810011</v>
      </c>
      <c r="BU20" s="13">
        <f t="shared" si="80"/>
        <v>316.73871482319106</v>
      </c>
      <c r="BV20" s="13">
        <f t="shared" si="80"/>
        <v>313.57132767495915</v>
      </c>
      <c r="BW20" s="13">
        <f t="shared" si="80"/>
        <v>310.43561439820957</v>
      </c>
      <c r="BX20" s="13">
        <f t="shared" si="80"/>
        <v>307.33125825422746</v>
      </c>
      <c r="BY20" s="13">
        <f t="shared" si="80"/>
        <v>304.25794567168521</v>
      </c>
      <c r="BZ20" s="13">
        <f t="shared" si="80"/>
        <v>301.21536621496836</v>
      </c>
      <c r="CA20" s="13">
        <f t="shared" si="80"/>
        <v>298.20321255281868</v>
      </c>
      <c r="CB20" s="13">
        <f t="shared" si="80"/>
        <v>295.22118042729051</v>
      </c>
      <c r="CC20" s="13">
        <f t="shared" si="80"/>
        <v>292.2689686230176</v>
      </c>
      <c r="CD20" s="13">
        <f t="shared" si="80"/>
        <v>289.34627893678743</v>
      </c>
      <c r="CE20" s="13">
        <f t="shared" si="80"/>
        <v>286.45281614741953</v>
      </c>
      <c r="CF20" s="13">
        <f t="shared" si="80"/>
        <v>283.58828798594533</v>
      </c>
      <c r="CG20" s="13">
        <f t="shared" si="80"/>
        <v>280.75240510608586</v>
      </c>
      <c r="CH20" s="13">
        <f t="shared" si="80"/>
        <v>277.94488105502501</v>
      </c>
      <c r="CI20" s="13">
        <f t="shared" si="80"/>
        <v>275.16543224447474</v>
      </c>
      <c r="CJ20" s="13">
        <f t="shared" si="80"/>
        <v>272.41377792203002</v>
      </c>
      <c r="CK20" s="13">
        <f t="shared" si="80"/>
        <v>269.68964014280971</v>
      </c>
      <c r="CL20" s="13">
        <f t="shared" si="80"/>
        <v>266.99274374138162</v>
      </c>
      <c r="CM20" s="13">
        <f t="shared" si="80"/>
        <v>264.32281630396778</v>
      </c>
      <c r="CN20" s="13">
        <f t="shared" si="80"/>
        <v>261.6795881409281</v>
      </c>
      <c r="CO20" s="13">
        <f t="shared" si="80"/>
        <v>259.0627922595188</v>
      </c>
      <c r="CP20" s="13">
        <f t="shared" si="80"/>
        <v>256.47216433692358</v>
      </c>
      <c r="CQ20" s="13">
        <f t="shared" si="80"/>
        <v>253.90744269355434</v>
      </c>
      <c r="CR20" s="13">
        <f t="shared" si="80"/>
        <v>251.3683682666188</v>
      </c>
      <c r="CS20" s="13">
        <f t="shared" si="80"/>
        <v>248.8546845839526</v>
      </c>
      <c r="CT20" s="13">
        <f t="shared" si="80"/>
        <v>246.36613773811308</v>
      </c>
      <c r="CU20" s="13">
        <f t="shared" si="80"/>
        <v>243.90247636073195</v>
      </c>
      <c r="CV20" s="13">
        <f t="shared" si="80"/>
        <v>241.46345159712462</v>
      </c>
      <c r="CW20" s="13">
        <f t="shared" si="80"/>
        <v>239.04881708115337</v>
      </c>
      <c r="CX20" s="13">
        <f t="shared" si="80"/>
        <v>236.65832891034185</v>
      </c>
      <c r="CY20" s="13">
        <f t="shared" si="80"/>
        <v>234.29174562123842</v>
      </c>
      <c r="CZ20" s="13">
        <f t="shared" ref="CZ20:FH20" si="81">CY20*(1+$AO$38)</f>
        <v>231.94882816502604</v>
      </c>
      <c r="DA20" s="13">
        <f t="shared" si="81"/>
        <v>229.62933988337579</v>
      </c>
      <c r="DB20" s="13">
        <f t="shared" si="81"/>
        <v>227.33304648454202</v>
      </c>
      <c r="DC20" s="13">
        <f t="shared" si="81"/>
        <v>225.05971601969659</v>
      </c>
      <c r="DD20" s="13">
        <f t="shared" si="81"/>
        <v>222.80911885949962</v>
      </c>
      <c r="DE20" s="13">
        <f t="shared" si="81"/>
        <v>220.58102767090463</v>
      </c>
      <c r="DF20" s="13">
        <f t="shared" si="81"/>
        <v>218.37521739419557</v>
      </c>
      <c r="DG20" s="13">
        <f t="shared" si="81"/>
        <v>216.1914652202536</v>
      </c>
      <c r="DH20" s="13">
        <f t="shared" si="81"/>
        <v>214.02955056805106</v>
      </c>
      <c r="DI20" s="13">
        <f t="shared" si="81"/>
        <v>211.88925506237055</v>
      </c>
      <c r="DJ20" s="13">
        <f t="shared" si="81"/>
        <v>209.77036251174684</v>
      </c>
      <c r="DK20" s="13">
        <f t="shared" si="81"/>
        <v>207.67265888662936</v>
      </c>
      <c r="DL20" s="13">
        <f t="shared" si="81"/>
        <v>205.59593229776306</v>
      </c>
      <c r="DM20" s="13">
        <f t="shared" si="81"/>
        <v>203.53997297478543</v>
      </c>
      <c r="DN20" s="13">
        <f t="shared" si="81"/>
        <v>201.50457324503756</v>
      </c>
      <c r="DO20" s="13">
        <f t="shared" si="81"/>
        <v>199.48952751258719</v>
      </c>
      <c r="DP20" s="13">
        <f t="shared" si="81"/>
        <v>197.4946322374613</v>
      </c>
      <c r="DQ20" s="13">
        <f t="shared" si="81"/>
        <v>195.51968591508668</v>
      </c>
      <c r="DR20" s="13">
        <f t="shared" si="81"/>
        <v>193.56448905593581</v>
      </c>
      <c r="DS20" s="13">
        <f t="shared" si="81"/>
        <v>191.62884416537645</v>
      </c>
      <c r="DT20" s="13">
        <f t="shared" si="81"/>
        <v>189.71255572372269</v>
      </c>
      <c r="DU20" s="13">
        <f t="shared" si="81"/>
        <v>187.81543016648547</v>
      </c>
      <c r="DV20" s="13">
        <f t="shared" si="81"/>
        <v>185.93727586482061</v>
      </c>
      <c r="DW20" s="13">
        <f t="shared" si="81"/>
        <v>184.07790310617239</v>
      </c>
      <c r="DX20" s="13">
        <f t="shared" si="81"/>
        <v>182.23712407511067</v>
      </c>
      <c r="DY20" s="13">
        <f t="shared" si="81"/>
        <v>180.41475283435958</v>
      </c>
      <c r="DZ20" s="13">
        <f t="shared" si="81"/>
        <v>178.61060530601597</v>
      </c>
      <c r="EA20" s="13">
        <f t="shared" si="81"/>
        <v>176.8244992529558</v>
      </c>
      <c r="EB20" s="13">
        <f t="shared" si="81"/>
        <v>175.05625426042624</v>
      </c>
      <c r="EC20" s="13">
        <f t="shared" si="81"/>
        <v>173.30569171782199</v>
      </c>
      <c r="ED20" s="13">
        <f t="shared" si="81"/>
        <v>171.57263480064375</v>
      </c>
      <c r="EE20" s="13">
        <f t="shared" si="81"/>
        <v>169.85690845263733</v>
      </c>
      <c r="EF20" s="13">
        <f t="shared" si="81"/>
        <v>168.15833936811094</v>
      </c>
      <c r="EG20" s="13">
        <f t="shared" si="81"/>
        <v>166.47675597442984</v>
      </c>
      <c r="EH20" s="13">
        <f t="shared" si="81"/>
        <v>164.81198841468554</v>
      </c>
      <c r="EI20" s="13">
        <f t="shared" si="81"/>
        <v>163.16386853053868</v>
      </c>
      <c r="EJ20" s="13">
        <f t="shared" si="81"/>
        <v>161.5322298452333</v>
      </c>
      <c r="EK20" s="13">
        <f t="shared" si="81"/>
        <v>159.91690754678098</v>
      </c>
      <c r="EL20" s="13">
        <f t="shared" si="81"/>
        <v>158.31773847131316</v>
      </c>
      <c r="EM20" s="13">
        <f t="shared" si="81"/>
        <v>156.73456108660002</v>
      </c>
      <c r="EN20" s="13">
        <f t="shared" si="81"/>
        <v>155.16721547573403</v>
      </c>
      <c r="EO20" s="13">
        <f t="shared" si="81"/>
        <v>153.61554332097668</v>
      </c>
      <c r="EP20" s="13">
        <f t="shared" si="81"/>
        <v>152.07938788776693</v>
      </c>
      <c r="EQ20" s="13">
        <f t="shared" si="81"/>
        <v>150.55859400888926</v>
      </c>
      <c r="ER20" s="13">
        <f t="shared" si="81"/>
        <v>149.05300806880035</v>
      </c>
      <c r="ES20" s="13">
        <f t="shared" si="81"/>
        <v>147.56247798811233</v>
      </c>
      <c r="ET20" s="13">
        <f t="shared" si="81"/>
        <v>146.08685320823122</v>
      </c>
      <c r="EU20" s="13">
        <f t="shared" si="81"/>
        <v>144.6259846761489</v>
      </c>
      <c r="EV20" s="13">
        <f t="shared" si="81"/>
        <v>143.17972482938742</v>
      </c>
      <c r="EW20" s="13">
        <f t="shared" si="81"/>
        <v>141.74792758109356</v>
      </c>
      <c r="EX20" s="13">
        <f t="shared" si="81"/>
        <v>140.33044830528263</v>
      </c>
      <c r="EY20" s="13">
        <f t="shared" si="81"/>
        <v>138.92714382222979</v>
      </c>
      <c r="EZ20" s="13">
        <f t="shared" si="81"/>
        <v>137.5378723840075</v>
      </c>
      <c r="FA20" s="13">
        <f t="shared" si="81"/>
        <v>136.16249366016743</v>
      </c>
      <c r="FB20" s="13">
        <f t="shared" si="81"/>
        <v>134.80086872356574</v>
      </c>
      <c r="FC20" s="13">
        <f t="shared" si="81"/>
        <v>133.45286003633009</v>
      </c>
      <c r="FD20" s="13">
        <f t="shared" si="81"/>
        <v>132.11833143596678</v>
      </c>
      <c r="FE20" s="13">
        <f t="shared" si="81"/>
        <v>130.79714812160711</v>
      </c>
      <c r="FF20" s="13">
        <f t="shared" si="81"/>
        <v>129.48917664039104</v>
      </c>
      <c r="FG20" s="13">
        <f t="shared" si="81"/>
        <v>128.19428487398713</v>
      </c>
      <c r="FH20" s="13">
        <f t="shared" si="81"/>
        <v>126.91234202524726</v>
      </c>
    </row>
    <row r="21" spans="1:164" s="3" customFormat="1" x14ac:dyDescent="0.3">
      <c r="A21" s="6" t="s">
        <v>51</v>
      </c>
      <c r="E21" s="11">
        <f t="shared" ref="E21:Q21" si="82">E20/E22</f>
        <v>0.17409475429862906</v>
      </c>
      <c r="F21" s="11">
        <f t="shared" si="82"/>
        <v>0.30833772351866801</v>
      </c>
      <c r="G21" s="11">
        <f t="shared" si="82"/>
        <v>0.20502718172118431</v>
      </c>
      <c r="H21" s="11">
        <f t="shared" si="82"/>
        <v>0.5547402151078934</v>
      </c>
      <c r="I21" s="11">
        <f t="shared" si="82"/>
        <v>0.50830817516818638</v>
      </c>
      <c r="J21" s="11">
        <f t="shared" si="82"/>
        <v>0.60445893614060509</v>
      </c>
      <c r="K21" s="11">
        <f t="shared" si="82"/>
        <v>0.64311842278524467</v>
      </c>
      <c r="L21" s="11">
        <f t="shared" si="82"/>
        <v>0.77448474139824319</v>
      </c>
      <c r="M21" s="11">
        <f t="shared" si="82"/>
        <v>0.45109317937078014</v>
      </c>
      <c r="N21" s="11">
        <f t="shared" si="82"/>
        <v>0.65216534229447598</v>
      </c>
      <c r="O21" s="11">
        <f t="shared" si="82"/>
        <v>0.74566755217117786</v>
      </c>
      <c r="P21" s="11">
        <f t="shared" si="82"/>
        <v>0.99921831626470248</v>
      </c>
      <c r="Q21" s="11">
        <f t="shared" si="82"/>
        <v>0.5452915822005393</v>
      </c>
      <c r="R21" s="11">
        <f t="shared" ref="R21" si="83">R20/R22</f>
        <v>0.83827164772070706</v>
      </c>
      <c r="S21" s="11">
        <f t="shared" ref="S21" si="84">S20/S22</f>
        <v>0.7938933104102035</v>
      </c>
      <c r="T21" s="11">
        <f t="shared" ref="T21" si="85">T20/T22</f>
        <v>0.93433773355133987</v>
      </c>
      <c r="Y21" s="3">
        <f t="shared" si="14"/>
        <v>1.2421998746463747</v>
      </c>
      <c r="Z21" s="3">
        <f>SUM(I21:L21)</f>
        <v>2.5303702754922792</v>
      </c>
      <c r="AA21" s="3">
        <f>SUM(M21:P21)</f>
        <v>2.8481443901011363</v>
      </c>
      <c r="AB21" s="3">
        <f>SUM(Q21:T21)</f>
        <v>3.11179427388279</v>
      </c>
      <c r="AC21" s="11">
        <f t="shared" ref="AC21" si="86">AC20/AC22</f>
        <v>3.750579143853523</v>
      </c>
      <c r="AD21" s="11">
        <f t="shared" ref="AD21" si="87">AD20/AD22</f>
        <v>4.4716764578271624</v>
      </c>
      <c r="AE21" s="11">
        <f t="shared" ref="AE21" si="88">AE20/AE22</f>
        <v>3.6696715817819472</v>
      </c>
      <c r="AF21" s="11">
        <f t="shared" ref="AF21" si="89">AF20/AF22</f>
        <v>4.2067066352761877</v>
      </c>
      <c r="AG21" s="11">
        <f t="shared" ref="AG21" si="90">AG20/AG22</f>
        <v>3.5598914932567816</v>
      </c>
      <c r="AH21" s="11">
        <f t="shared" ref="AH21" si="91">AH20/AH22</f>
        <v>3.7816790522593036</v>
      </c>
      <c r="AI21" s="11">
        <f t="shared" ref="AI21" si="92">AI20/AI22</f>
        <v>4.0158488899437064</v>
      </c>
      <c r="AJ21" s="11">
        <f t="shared" ref="AJ21" si="93">AJ20/AJ22</f>
        <v>4.2636418265086595</v>
      </c>
      <c r="AK21" s="11">
        <f t="shared" ref="AK21" si="94">AK20/AK22</f>
        <v>4.525633311622502</v>
      </c>
      <c r="AL21" s="11">
        <f t="shared" ref="AL21" si="95">AL20/AL22</f>
        <v>4.6419195040490031</v>
      </c>
    </row>
    <row r="22" spans="1:164" s="3" customFormat="1" x14ac:dyDescent="0.3">
      <c r="A22" s="6" t="s">
        <v>1</v>
      </c>
      <c r="E22" s="3">
        <v>92.596959999999996</v>
      </c>
      <c r="F22" s="3">
        <v>92.670726999999999</v>
      </c>
      <c r="G22" s="3">
        <v>92.695196999999993</v>
      </c>
      <c r="H22" s="3">
        <v>103.297</v>
      </c>
      <c r="I22" s="3">
        <v>102.496876</v>
      </c>
      <c r="J22" s="3">
        <v>104.566243</v>
      </c>
      <c r="K22" s="3">
        <v>108.286433</v>
      </c>
      <c r="L22" s="3">
        <v>111.47024</v>
      </c>
      <c r="M22" s="3">
        <v>108.822306</v>
      </c>
      <c r="N22" s="3">
        <v>105.439519</v>
      </c>
      <c r="O22" s="3">
        <v>102.052181</v>
      </c>
      <c r="P22" s="3">
        <v>102.02975499999999</v>
      </c>
      <c r="Q22" s="3">
        <v>99.935524000000001</v>
      </c>
      <c r="R22" s="3">
        <v>99</v>
      </c>
      <c r="S22" s="3">
        <v>98</v>
      </c>
      <c r="T22" s="3">
        <v>97</v>
      </c>
      <c r="Y22" s="3">
        <f>AVERAGE(E22:H22)</f>
        <v>95.314970999999986</v>
      </c>
      <c r="Z22" s="3">
        <f>AVERAGE(I22:L22)</f>
        <v>106.704948</v>
      </c>
      <c r="AA22" s="3">
        <f>AVERAGE(M22:P22)</f>
        <v>104.58594024999999</v>
      </c>
      <c r="AB22" s="3">
        <f>AVERAGE(Q22:T22)</f>
        <v>98.483880999999997</v>
      </c>
      <c r="AC22" s="3">
        <v>97</v>
      </c>
      <c r="AD22" s="3">
        <v>97</v>
      </c>
      <c r="AE22" s="3">
        <v>97</v>
      </c>
      <c r="AF22" s="3">
        <v>97</v>
      </c>
      <c r="AG22" s="3">
        <v>97</v>
      </c>
      <c r="AH22" s="3">
        <v>97</v>
      </c>
      <c r="AI22" s="3">
        <v>97</v>
      </c>
      <c r="AJ22" s="3">
        <v>97</v>
      </c>
      <c r="AK22" s="3">
        <v>97</v>
      </c>
      <c r="AL22" s="3">
        <v>97</v>
      </c>
    </row>
    <row r="23" spans="1:164" s="3" customFormat="1" x14ac:dyDescent="0.3">
      <c r="A23" s="6" t="s">
        <v>88</v>
      </c>
      <c r="I23" s="11"/>
      <c r="J23" s="11"/>
      <c r="K23" s="11"/>
      <c r="L23" s="11"/>
      <c r="M23" s="11"/>
      <c r="N23" s="11">
        <v>0.36</v>
      </c>
      <c r="O23" s="11">
        <v>0.6</v>
      </c>
      <c r="P23" s="11">
        <v>0.71</v>
      </c>
      <c r="Q23" s="11">
        <v>0.66</v>
      </c>
      <c r="R23" s="11">
        <v>0.74</v>
      </c>
    </row>
    <row r="24" spans="1:164" s="3" customFormat="1" x14ac:dyDescent="0.3">
      <c r="A24" s="6" t="s">
        <v>89</v>
      </c>
      <c r="N24" s="24">
        <f t="shared" ref="N24:O24" si="96">N21/N23-1</f>
        <v>0.81157039526243335</v>
      </c>
      <c r="O24" s="24">
        <f t="shared" si="96"/>
        <v>0.24277925361862973</v>
      </c>
      <c r="P24" s="24">
        <f>P21/P23-1</f>
        <v>0.4073497412178908</v>
      </c>
      <c r="Q24" s="23">
        <f>Q21/Q23-1</f>
        <v>-0.1738006330294859</v>
      </c>
    </row>
    <row r="25" spans="1:164" s="3" customFormat="1" x14ac:dyDescent="0.3">
      <c r="A25" s="6"/>
    </row>
    <row r="26" spans="1:164" s="15" customFormat="1" x14ac:dyDescent="0.3">
      <c r="A26" s="14" t="s">
        <v>82</v>
      </c>
      <c r="E26" s="16"/>
      <c r="F26" s="16"/>
      <c r="G26" s="16"/>
      <c r="H26" s="16"/>
      <c r="I26" s="16">
        <f t="shared" ref="I26:L26" si="97">I5/E5-1</f>
        <v>0.93289467485575628</v>
      </c>
      <c r="J26" s="16">
        <f t="shared" si="97"/>
        <v>1.1713273817495113</v>
      </c>
      <c r="K26" s="16">
        <f t="shared" si="97"/>
        <v>1.1644749728361039</v>
      </c>
      <c r="L26" s="16">
        <f t="shared" si="97"/>
        <v>0.29031675057799067</v>
      </c>
      <c r="M26" s="16">
        <f>M5/I5-1</f>
        <v>0.15864989323350409</v>
      </c>
      <c r="N26" s="16">
        <f>N5/J5-1</f>
        <v>0.19190325972660349</v>
      </c>
      <c r="O26" s="16">
        <f>O5/K5-1</f>
        <v>0.14021299045781332</v>
      </c>
      <c r="P26" s="16">
        <f>P5/L5-1</f>
        <v>3.5045194667229218E-2</v>
      </c>
      <c r="Q26" s="16">
        <f>Q5/M5-1</f>
        <v>7.5875334667671712E-2</v>
      </c>
      <c r="R26" s="16">
        <f t="shared" ref="R26:T26" si="98">R5/N5-1</f>
        <v>0.14999999999999991</v>
      </c>
      <c r="S26" s="16">
        <f t="shared" si="98"/>
        <v>0.1399999999999999</v>
      </c>
      <c r="T26" s="16">
        <f t="shared" si="98"/>
        <v>3.9999999999999813E-2</v>
      </c>
      <c r="Z26" s="16">
        <f>Z5/Y5-1</f>
        <v>0.73726152435654546</v>
      </c>
      <c r="AA26" s="16">
        <f>AA5/Z5-1</f>
        <v>0.12154706215864075</v>
      </c>
      <c r="AB26" s="26">
        <f t="shared" ref="AB26:AL26" si="99">AB5/AA5-1</f>
        <v>9.9001844962340213E-2</v>
      </c>
      <c r="AC26" s="26">
        <f t="shared" si="99"/>
        <v>3.0000000000000027E-2</v>
      </c>
      <c r="AD26" s="26">
        <f t="shared" si="99"/>
        <v>2.0999999999999686E-2</v>
      </c>
      <c r="AE26" s="26">
        <f t="shared" si="99"/>
        <v>-1.9999999999999907E-2</v>
      </c>
      <c r="AF26" s="26">
        <f t="shared" si="99"/>
        <v>-2.0000000000000018E-2</v>
      </c>
      <c r="AG26" s="26">
        <f t="shared" si="99"/>
        <v>5.9999999999999831E-2</v>
      </c>
      <c r="AH26" s="26">
        <f t="shared" si="99"/>
        <v>6.0000000000000053E-2</v>
      </c>
      <c r="AI26" s="26">
        <f t="shared" si="99"/>
        <v>6.0000000000000053E-2</v>
      </c>
      <c r="AJ26" s="26">
        <f t="shared" si="99"/>
        <v>6.0000000000000053E-2</v>
      </c>
      <c r="AK26" s="26">
        <f t="shared" si="99"/>
        <v>5.9999999999999831E-2</v>
      </c>
      <c r="AL26" s="26">
        <f t="shared" si="99"/>
        <v>2.4999999999999911E-2</v>
      </c>
    </row>
    <row r="27" spans="1:164" s="18" customFormat="1" x14ac:dyDescent="0.3">
      <c r="A27" s="17" t="s">
        <v>83</v>
      </c>
      <c r="E27" s="22"/>
      <c r="F27" s="22">
        <f t="shared" ref="F27:L27" si="100">F5/E5-1</f>
        <v>6.3207919807629631E-2</v>
      </c>
      <c r="G27" s="22">
        <f t="shared" si="100"/>
        <v>-6.2759731439424593E-3</v>
      </c>
      <c r="H27" s="22">
        <f t="shared" si="100"/>
        <v>1.3474611822585789</v>
      </c>
      <c r="I27" s="22">
        <f t="shared" si="100"/>
        <v>-0.22066213662876</v>
      </c>
      <c r="J27" s="22">
        <f t="shared" si="100"/>
        <v>0.19436019913683289</v>
      </c>
      <c r="K27" s="22">
        <f t="shared" si="100"/>
        <v>-9.4120287366320499E-3</v>
      </c>
      <c r="L27" s="22">
        <f t="shared" si="100"/>
        <v>0.39940102002242672</v>
      </c>
      <c r="M27" s="22">
        <f>M5/L5-1</f>
        <v>-0.30018754559031391</v>
      </c>
      <c r="N27" s="22">
        <f>N5/M5-1</f>
        <v>0.22863845494008483</v>
      </c>
      <c r="O27" s="22">
        <f>O5/N5-1</f>
        <v>-5.2371688886209133E-2</v>
      </c>
      <c r="P27" s="22">
        <f>P5/O5-1</f>
        <v>0.27032695935612794</v>
      </c>
      <c r="Q27" s="22">
        <f>Q5/P5-1</f>
        <v>-0.27258156216580542</v>
      </c>
      <c r="R27" s="22">
        <f t="shared" ref="R27:T27" si="101">R5/Q5-1</f>
        <v>0.31328805266972681</v>
      </c>
      <c r="S27" s="22">
        <f t="shared" si="101"/>
        <v>-6.0611935069807221E-2</v>
      </c>
      <c r="T27" s="22">
        <f t="shared" si="101"/>
        <v>0.15889476993892382</v>
      </c>
    </row>
    <row r="28" spans="1:164" s="3" customFormat="1" x14ac:dyDescent="0.3">
      <c r="A28" s="6"/>
    </row>
    <row r="29" spans="1:164" s="15" customFormat="1" x14ac:dyDescent="0.3">
      <c r="A29" s="14" t="s">
        <v>84</v>
      </c>
      <c r="E29" s="16">
        <f t="shared" ref="E29:H29" si="102">(E3-E6)/E5</f>
        <v>0.15288027767696655</v>
      </c>
      <c r="F29" s="16">
        <f t="shared" si="102"/>
        <v>0.16887686008234074</v>
      </c>
      <c r="G29" s="16">
        <f t="shared" si="102"/>
        <v>0.16418702597277945</v>
      </c>
      <c r="H29" s="16">
        <f t="shared" si="102"/>
        <v>0.16403314203898656</v>
      </c>
      <c r="I29" s="16">
        <f t="shared" ref="I29:Q29" si="103">(I3-I6)/I5</f>
        <v>0.1861336072016937</v>
      </c>
      <c r="J29" s="16">
        <f t="shared" si="103"/>
        <v>0.19644599777591176</v>
      </c>
      <c r="K29" s="16">
        <f t="shared" si="103"/>
        <v>0.18517849119667446</v>
      </c>
      <c r="L29" s="16">
        <f t="shared" si="103"/>
        <v>0.17055370516232427</v>
      </c>
      <c r="M29" s="16">
        <f t="shared" si="103"/>
        <v>0.16912999402147066</v>
      </c>
      <c r="N29" s="16">
        <f t="shared" si="103"/>
        <v>0.19043433096487078</v>
      </c>
      <c r="O29" s="16">
        <f t="shared" si="103"/>
        <v>0.20563723027806619</v>
      </c>
      <c r="P29" s="16">
        <f t="shared" si="103"/>
        <v>0.20448384310327705</v>
      </c>
      <c r="Q29" s="16">
        <f t="shared" si="103"/>
        <v>0.17707296448417495</v>
      </c>
      <c r="R29" s="16">
        <f t="shared" ref="R29:T29" si="104">(R3-R6)/R5</f>
        <v>0.18939881672077433</v>
      </c>
      <c r="S29" s="16">
        <f t="shared" si="104"/>
        <v>0.18940129265597266</v>
      </c>
      <c r="T29" s="16">
        <f t="shared" si="104"/>
        <v>0.1893927875029548</v>
      </c>
      <c r="Y29" s="16">
        <f>(Y3-Y6)/Y5</f>
        <v>0.16299019811166809</v>
      </c>
      <c r="Z29" s="16">
        <f>(Z3-Z6)/Z5</f>
        <v>0.18323118418710274</v>
      </c>
      <c r="AA29" s="16">
        <f>(AA3-AA6)/AA5</f>
        <v>0.19395980244284106</v>
      </c>
      <c r="AB29" s="16">
        <f t="shared" ref="AB29:AL29" si="105">(AB3-AB6)/AB5</f>
        <v>0.18692098086790923</v>
      </c>
      <c r="AC29" s="16">
        <f t="shared" si="105"/>
        <v>0.18929435588211194</v>
      </c>
      <c r="AD29" s="16">
        <f t="shared" si="105"/>
        <v>0.20729435588211209</v>
      </c>
      <c r="AE29" s="16">
        <f t="shared" si="105"/>
        <v>0.18929435588211205</v>
      </c>
      <c r="AF29" s="16">
        <f t="shared" si="105"/>
        <v>0.20729435588211204</v>
      </c>
      <c r="AG29" s="16">
        <f t="shared" si="105"/>
        <v>0.18929435588211213</v>
      </c>
      <c r="AH29" s="16">
        <f t="shared" si="105"/>
        <v>0.18929435588211208</v>
      </c>
      <c r="AI29" s="16">
        <f t="shared" si="105"/>
        <v>0.18929435588211213</v>
      </c>
      <c r="AJ29" s="16">
        <f t="shared" si="105"/>
        <v>0.18929435588211191</v>
      </c>
      <c r="AK29" s="16">
        <f t="shared" si="105"/>
        <v>0.18929435588211202</v>
      </c>
      <c r="AL29" s="16">
        <f t="shared" si="105"/>
        <v>0.18929435588211196</v>
      </c>
    </row>
    <row r="30" spans="1:164" s="20" customFormat="1" x14ac:dyDescent="0.3">
      <c r="A30" s="19" t="s">
        <v>85</v>
      </c>
      <c r="E30" s="21">
        <f t="shared" ref="E30:H30" si="106">E16/E5</f>
        <v>6.5235828352900913E-2</v>
      </c>
      <c r="F30" s="21">
        <f t="shared" si="106"/>
        <v>0.10002840837375222</v>
      </c>
      <c r="G30" s="21">
        <f t="shared" si="106"/>
        <v>7.5894181213754811E-2</v>
      </c>
      <c r="H30" s="21">
        <f t="shared" si="106"/>
        <v>8.8511776924972779E-2</v>
      </c>
      <c r="I30" s="21">
        <f t="shared" ref="I30:Q30" si="107">I16/I5</f>
        <v>0.10781458469489461</v>
      </c>
      <c r="J30" s="21">
        <f t="shared" si="107"/>
        <v>0.11382691953692564</v>
      </c>
      <c r="K30" s="21">
        <f t="shared" si="107"/>
        <v>0.10435565104388753</v>
      </c>
      <c r="L30" s="21">
        <f t="shared" si="107"/>
        <v>0.11028717577442149</v>
      </c>
      <c r="M30" s="21">
        <f t="shared" si="107"/>
        <v>9.0180915494788183E-2</v>
      </c>
      <c r="N30" s="21">
        <f t="shared" si="107"/>
        <v>0.10139008334576265</v>
      </c>
      <c r="O30" s="21">
        <f t="shared" si="107"/>
        <v>0.1158233146914035</v>
      </c>
      <c r="P30" s="21">
        <f t="shared" si="107"/>
        <v>0.11900910107847393</v>
      </c>
      <c r="Q30" s="21">
        <f t="shared" si="107"/>
        <v>8.5556897801401272E-2</v>
      </c>
      <c r="R30" s="21">
        <f t="shared" ref="R30:T30" si="108">R16/R5</f>
        <v>0.10230000000000002</v>
      </c>
      <c r="S30" s="21">
        <f t="shared" si="108"/>
        <v>0.10229999999999995</v>
      </c>
      <c r="T30" s="21">
        <f t="shared" si="108"/>
        <v>0.10229999999999997</v>
      </c>
      <c r="Y30" s="21">
        <f>Y16/Y5</f>
        <v>8.4161301332819433E-2</v>
      </c>
      <c r="Z30" s="21">
        <f>Z16/Z5</f>
        <v>0.10924159307789318</v>
      </c>
      <c r="AA30" s="21">
        <f>AA16/AA5</f>
        <v>0.10788734738912217</v>
      </c>
      <c r="AB30" s="21">
        <f t="shared" ref="AB30:AL30" si="109">AB16/AB5</f>
        <v>9.8935694312065309E-2</v>
      </c>
      <c r="AC30" s="21">
        <f t="shared" si="109"/>
        <v>0.11199999999999995</v>
      </c>
      <c r="AD30" s="21">
        <f t="shared" si="109"/>
        <v>0.12999999999999998</v>
      </c>
      <c r="AE30" s="21">
        <f t="shared" si="109"/>
        <v>0.10939999999999994</v>
      </c>
      <c r="AF30" s="21">
        <f t="shared" si="109"/>
        <v>0.12739999999999999</v>
      </c>
      <c r="AG30" s="21">
        <f t="shared" si="109"/>
        <v>0.10229999999999996</v>
      </c>
      <c r="AH30" s="21">
        <f t="shared" si="109"/>
        <v>0.10229999999999995</v>
      </c>
      <c r="AI30" s="21">
        <f t="shared" si="109"/>
        <v>0.10229999999999997</v>
      </c>
      <c r="AJ30" s="21">
        <f t="shared" si="109"/>
        <v>0.10229999999999986</v>
      </c>
      <c r="AK30" s="21">
        <f t="shared" si="109"/>
        <v>0.10229999999999989</v>
      </c>
      <c r="AL30" s="21">
        <f t="shared" si="109"/>
        <v>0.1022999999999999</v>
      </c>
    </row>
    <row r="31" spans="1:164" s="20" customFormat="1" x14ac:dyDescent="0.3">
      <c r="A31" s="19" t="s">
        <v>86</v>
      </c>
      <c r="E31" s="21">
        <f t="shared" ref="E31:H31" si="110">E20/E5</f>
        <v>4.6922307234130406E-2</v>
      </c>
      <c r="F31" s="21">
        <f t="shared" si="110"/>
        <v>7.82254325475292E-2</v>
      </c>
      <c r="G31" s="21">
        <f t="shared" si="110"/>
        <v>5.2357828316217325E-2</v>
      </c>
      <c r="H31" s="21">
        <f t="shared" si="110"/>
        <v>6.7249938386790192E-2</v>
      </c>
      <c r="I31" s="21">
        <f t="shared" ref="I31:Q31" si="111">I20/I5</f>
        <v>7.8456057078663682E-2</v>
      </c>
      <c r="J31" s="21">
        <f t="shared" si="111"/>
        <v>7.969145188580995E-2</v>
      </c>
      <c r="K31" s="21">
        <f t="shared" si="111"/>
        <v>8.863910883590935E-2</v>
      </c>
      <c r="L31" s="21">
        <f t="shared" si="111"/>
        <v>7.8521755106570001E-2</v>
      </c>
      <c r="M31" s="21">
        <f t="shared" si="111"/>
        <v>6.3800005198721019E-2</v>
      </c>
      <c r="N31" s="21">
        <f t="shared" si="111"/>
        <v>7.274004351877994E-2</v>
      </c>
      <c r="O31" s="21">
        <f t="shared" si="111"/>
        <v>8.4945804449504933E-2</v>
      </c>
      <c r="P31" s="21">
        <f t="shared" si="111"/>
        <v>8.9587230897796827E-2</v>
      </c>
      <c r="Q31" s="21">
        <f t="shared" si="111"/>
        <v>6.5829910606426636E-2</v>
      </c>
      <c r="R31" s="21">
        <f t="shared" ref="R31:T31" si="112">R20/R5</f>
        <v>7.6336906539071325E-2</v>
      </c>
      <c r="S31" s="21">
        <f t="shared" si="112"/>
        <v>7.6182946306385238E-2</v>
      </c>
      <c r="T31" s="21">
        <f t="shared" si="112"/>
        <v>7.657749685368237E-2</v>
      </c>
      <c r="Y31" s="21">
        <f>Y20/Y5</f>
        <v>6.2894082602104773E-2</v>
      </c>
      <c r="Z31" s="21">
        <f>Z20/Z5</f>
        <v>8.1164515226630499E-2</v>
      </c>
      <c r="AA31" s="21">
        <f>AA20/AA5</f>
        <v>7.8936430963568643E-2</v>
      </c>
      <c r="AB31" s="21">
        <f t="shared" ref="AB31:AL31" si="113">AB20/AB5</f>
        <v>7.4256615803855994E-2</v>
      </c>
      <c r="AC31" s="21">
        <f t="shared" si="113"/>
        <v>8.5736735521767804E-2</v>
      </c>
      <c r="AD31" s="21">
        <f t="shared" si="113"/>
        <v>0.10011824780818143</v>
      </c>
      <c r="AE31" s="21">
        <f t="shared" si="113"/>
        <v>8.3838594705871211E-2</v>
      </c>
      <c r="AF31" s="21">
        <f t="shared" si="113"/>
        <v>9.8069269927597555E-2</v>
      </c>
      <c r="AG31" s="21">
        <f t="shared" si="113"/>
        <v>7.8292761435243316E-2</v>
      </c>
      <c r="AH31" s="21">
        <f t="shared" si="113"/>
        <v>7.8462773062211597E-2</v>
      </c>
      <c r="AI31" s="21">
        <f t="shared" si="113"/>
        <v>7.8605056201144982E-2</v>
      </c>
      <c r="AJ31" s="21">
        <f t="shared" si="113"/>
        <v>7.8731399009332986E-2</v>
      </c>
      <c r="AK31" s="21">
        <f t="shared" si="113"/>
        <v>7.8838935520964604E-2</v>
      </c>
      <c r="AL31" s="21">
        <f t="shared" si="113"/>
        <v>7.8892392921089738E-2</v>
      </c>
    </row>
    <row r="32" spans="1:164" s="18" customFormat="1" x14ac:dyDescent="0.3">
      <c r="A32" s="17" t="s">
        <v>87</v>
      </c>
      <c r="E32" s="22">
        <f t="shared" ref="E32:H32" si="114">E17/E16</f>
        <v>0.21490212245919635</v>
      </c>
      <c r="F32" s="22">
        <f t="shared" si="114"/>
        <v>0.12256605707369715</v>
      </c>
      <c r="G32" s="22">
        <f t="shared" si="114"/>
        <v>0.14922111839309712</v>
      </c>
      <c r="H32" s="22">
        <f t="shared" si="114"/>
        <v>0.18627684964200461</v>
      </c>
      <c r="I32" s="22">
        <f>I17/I16</f>
        <v>0.23573942678361962</v>
      </c>
      <c r="J32" s="22">
        <f t="shared" ref="J32:P32" si="115">J17/J16</f>
        <v>0.25838502436863098</v>
      </c>
      <c r="K32" s="22">
        <f t="shared" si="115"/>
        <v>0.126492578272695</v>
      </c>
      <c r="L32" s="22">
        <f t="shared" si="115"/>
        <v>0.25798922948778191</v>
      </c>
      <c r="M32" s="22">
        <f t="shared" si="115"/>
        <v>0.25416864830587893</v>
      </c>
      <c r="N32" s="22">
        <f t="shared" si="115"/>
        <v>0.25254569735414428</v>
      </c>
      <c r="O32" s="22">
        <f t="shared" si="115"/>
        <v>0.23283023959598298</v>
      </c>
      <c r="P32" s="22">
        <f t="shared" si="115"/>
        <v>0.22507974481658677</v>
      </c>
      <c r="Q32" s="22">
        <f>Q17/Q16</f>
        <v>0.21378346323280253</v>
      </c>
      <c r="R32" s="22">
        <f t="shared" ref="R32:T32" si="116">R17/R16</f>
        <v>0.23</v>
      </c>
      <c r="S32" s="22">
        <f t="shared" si="116"/>
        <v>0.23</v>
      </c>
      <c r="T32" s="22">
        <f t="shared" si="116"/>
        <v>0.23</v>
      </c>
      <c r="Y32" s="22">
        <f>Y17/Y16</f>
        <v>0.16955781373300632</v>
      </c>
      <c r="Z32" s="22">
        <f>Z17/Z16</f>
        <v>0.22419629603255897</v>
      </c>
      <c r="AA32" s="22">
        <f>AA17/AA16</f>
        <v>0.2385683377634914</v>
      </c>
      <c r="AB32" s="22">
        <f t="shared" ref="AB32:AL32" si="117">AB17/AB16</f>
        <v>0.22718213841832213</v>
      </c>
      <c r="AC32" s="22">
        <f t="shared" si="117"/>
        <v>0.21</v>
      </c>
      <c r="AD32" s="22">
        <f t="shared" si="117"/>
        <v>0.21</v>
      </c>
      <c r="AE32" s="22">
        <f t="shared" si="117"/>
        <v>0.21</v>
      </c>
      <c r="AF32" s="22">
        <f t="shared" si="117"/>
        <v>0.21</v>
      </c>
      <c r="AG32" s="22">
        <f t="shared" si="117"/>
        <v>0.21</v>
      </c>
      <c r="AH32" s="22">
        <f t="shared" si="117"/>
        <v>0.21</v>
      </c>
      <c r="AI32" s="22">
        <f t="shared" si="117"/>
        <v>0.21</v>
      </c>
      <c r="AJ32" s="22">
        <f t="shared" si="117"/>
        <v>0.21</v>
      </c>
      <c r="AK32" s="22">
        <f t="shared" si="117"/>
        <v>0.21</v>
      </c>
      <c r="AL32" s="22">
        <f t="shared" si="117"/>
        <v>0.21</v>
      </c>
    </row>
    <row r="33" spans="1:41" s="3" customFormat="1" x14ac:dyDescent="0.3">
      <c r="A33" s="6"/>
    </row>
    <row r="34" spans="1:41" s="20" customFormat="1" x14ac:dyDescent="0.3">
      <c r="A34" s="19" t="s">
        <v>95</v>
      </c>
      <c r="L34" s="30">
        <f t="shared" ref="L34:P34" si="118">L35-L36</f>
        <v>-626.37800000000016</v>
      </c>
      <c r="M34" s="30">
        <f t="shared" si="118"/>
        <v>-673.22499999999991</v>
      </c>
      <c r="N34" s="30">
        <f t="shared" si="118"/>
        <v>-605.46199999999999</v>
      </c>
      <c r="O34" s="30">
        <f t="shared" si="118"/>
        <v>-541.41999999999996</v>
      </c>
      <c r="P34" s="30">
        <f t="shared" si="118"/>
        <v>-351.27100000000007</v>
      </c>
      <c r="Q34" s="30">
        <f>Q35-Q36</f>
        <v>-785.94500000000005</v>
      </c>
    </row>
    <row r="35" spans="1:41" s="20" customFormat="1" x14ac:dyDescent="0.3">
      <c r="A35" s="19" t="s">
        <v>3</v>
      </c>
      <c r="L35" s="20">
        <f t="shared" ref="L35:P35" si="119">L37</f>
        <v>364.53100000000001</v>
      </c>
      <c r="M35" s="20">
        <f t="shared" si="119"/>
        <v>266.56900000000002</v>
      </c>
      <c r="N35" s="20">
        <f t="shared" si="119"/>
        <v>292.51</v>
      </c>
      <c r="O35" s="20">
        <f t="shared" si="119"/>
        <v>330.12900000000002</v>
      </c>
      <c r="P35" s="20">
        <f t="shared" si="119"/>
        <v>494.14499999999998</v>
      </c>
      <c r="Q35" s="20">
        <f>Q37</f>
        <v>239.428</v>
      </c>
    </row>
    <row r="36" spans="1:41" s="28" customFormat="1" ht="15" thickBot="1" x14ac:dyDescent="0.35">
      <c r="A36" s="27" t="s">
        <v>4</v>
      </c>
      <c r="L36" s="29">
        <f t="shared" ref="L36:P36" si="120">L51+L52+L53</f>
        <v>990.90900000000011</v>
      </c>
      <c r="M36" s="29">
        <f t="shared" si="120"/>
        <v>939.79399999999998</v>
      </c>
      <c r="N36" s="29">
        <f t="shared" si="120"/>
        <v>897.97199999999998</v>
      </c>
      <c r="O36" s="29">
        <f t="shared" si="120"/>
        <v>871.54899999999998</v>
      </c>
      <c r="P36" s="29">
        <f t="shared" si="120"/>
        <v>845.41600000000005</v>
      </c>
      <c r="Q36" s="29">
        <f>Q51+Q52+Q53</f>
        <v>1025.373</v>
      </c>
    </row>
    <row r="37" spans="1:41" s="3" customFormat="1" x14ac:dyDescent="0.3">
      <c r="A37" s="6" t="s">
        <v>52</v>
      </c>
      <c r="L37" s="3">
        <v>364.53100000000001</v>
      </c>
      <c r="M37" s="3">
        <v>266.56900000000002</v>
      </c>
      <c r="N37" s="3">
        <v>292.51</v>
      </c>
      <c r="O37" s="3">
        <v>330.12900000000002</v>
      </c>
      <c r="P37" s="3">
        <v>494.14499999999998</v>
      </c>
      <c r="Q37" s="3">
        <v>239.428</v>
      </c>
    </row>
    <row r="38" spans="1:41" s="3" customFormat="1" x14ac:dyDescent="0.3">
      <c r="A38" s="6" t="s">
        <v>53</v>
      </c>
      <c r="L38" s="3">
        <v>30.599</v>
      </c>
      <c r="M38" s="3">
        <v>30.882000000000001</v>
      </c>
      <c r="N38" s="3">
        <v>33.081000000000003</v>
      </c>
      <c r="O38" s="3">
        <v>33.171999999999997</v>
      </c>
      <c r="P38" s="3">
        <v>54.311</v>
      </c>
      <c r="Q38" s="3">
        <v>28.391999999999999</v>
      </c>
      <c r="AN38" s="3" t="s">
        <v>96</v>
      </c>
      <c r="AO38" s="31">
        <v>-0.01</v>
      </c>
    </row>
    <row r="39" spans="1:41" s="3" customFormat="1" x14ac:dyDescent="0.3">
      <c r="A39" s="6" t="s">
        <v>54</v>
      </c>
      <c r="L39" s="3">
        <v>43.49</v>
      </c>
      <c r="M39" s="3">
        <v>33.564</v>
      </c>
      <c r="N39" s="3">
        <v>31.433</v>
      </c>
      <c r="O39" s="3">
        <v>33.314999999999998</v>
      </c>
      <c r="P39" s="3">
        <v>30.873999999999999</v>
      </c>
      <c r="Q39" s="3">
        <v>28.213000000000001</v>
      </c>
      <c r="AN39" s="3" t="s">
        <v>97</v>
      </c>
      <c r="AO39" s="32">
        <v>8.5300000000000001E-2</v>
      </c>
    </row>
    <row r="40" spans="1:41" s="3" customFormat="1" x14ac:dyDescent="0.3">
      <c r="A40" s="6" t="s">
        <v>55</v>
      </c>
      <c r="L40" s="3">
        <v>1378.1849999999999</v>
      </c>
      <c r="M40" s="3">
        <v>1434.86</v>
      </c>
      <c r="N40" s="3">
        <v>1417.258</v>
      </c>
      <c r="O40" s="3">
        <v>1473.9169999999999</v>
      </c>
      <c r="P40" s="3">
        <v>1440.249</v>
      </c>
      <c r="Q40" s="3">
        <v>1733.4880000000001</v>
      </c>
      <c r="AN40" s="3" t="s">
        <v>98</v>
      </c>
      <c r="AO40" s="3">
        <f>NPV(AO39,AB20:FH20)</f>
        <v>4553.5957637012862</v>
      </c>
    </row>
    <row r="41" spans="1:41" s="3" customFormat="1" x14ac:dyDescent="0.3">
      <c r="A41" s="6" t="s">
        <v>56</v>
      </c>
      <c r="L41" s="3">
        <v>277.25799999999998</v>
      </c>
      <c r="M41" s="3">
        <v>262.32299999999998</v>
      </c>
      <c r="N41" s="3">
        <v>247.90299999999999</v>
      </c>
      <c r="O41" s="3">
        <v>241.28</v>
      </c>
      <c r="P41" s="3">
        <v>247.20699999999999</v>
      </c>
      <c r="Q41" s="3">
        <v>268.07400000000001</v>
      </c>
      <c r="AN41" s="3" t="s">
        <v>3</v>
      </c>
      <c r="AO41" s="3">
        <v>-786</v>
      </c>
    </row>
    <row r="42" spans="1:41" s="3" customFormat="1" x14ac:dyDescent="0.3">
      <c r="A42" s="6" t="s">
        <v>57</v>
      </c>
      <c r="L42" s="3">
        <v>59.438000000000002</v>
      </c>
      <c r="M42" s="3">
        <v>64.134</v>
      </c>
      <c r="N42" s="3">
        <v>50.314999999999998</v>
      </c>
      <c r="O42" s="3">
        <v>56.531999999999996</v>
      </c>
      <c r="P42" s="3">
        <v>80.759</v>
      </c>
      <c r="Q42" s="3">
        <v>68.316999999999993</v>
      </c>
      <c r="AN42" s="3" t="s">
        <v>99</v>
      </c>
      <c r="AO42" s="3">
        <f>AO40+AO41</f>
        <v>3767.5957637012862</v>
      </c>
    </row>
    <row r="43" spans="1:41" s="3" customFormat="1" x14ac:dyDescent="0.3">
      <c r="A43" s="6" t="s">
        <v>58</v>
      </c>
      <c r="L43" s="3">
        <v>14.007999999999999</v>
      </c>
      <c r="M43" s="3">
        <v>13.494999999999999</v>
      </c>
      <c r="N43" s="3">
        <v>13.948</v>
      </c>
      <c r="O43" s="3">
        <v>14.297000000000001</v>
      </c>
      <c r="P43" s="3">
        <v>15.3674</v>
      </c>
      <c r="Q43" s="3">
        <v>17.687999999999999</v>
      </c>
      <c r="AN43" s="3" t="s">
        <v>100</v>
      </c>
      <c r="AO43" s="11">
        <f>AO42/Q22</f>
        <v>37.700265260041924</v>
      </c>
    </row>
    <row r="44" spans="1:41" s="3" customFormat="1" x14ac:dyDescent="0.3">
      <c r="A44" s="6" t="s">
        <v>59</v>
      </c>
      <c r="L44" s="3">
        <v>7.3369999999999997</v>
      </c>
      <c r="M44" s="3">
        <v>7.5640000000000001</v>
      </c>
      <c r="N44" s="3">
        <v>7.9480000000000004</v>
      </c>
      <c r="O44" s="3">
        <v>7.5229999999999997</v>
      </c>
      <c r="P44" s="3">
        <v>7.0430000000000001</v>
      </c>
      <c r="Q44" s="3">
        <v>8.2750000000000004</v>
      </c>
      <c r="AN44" s="3" t="s">
        <v>101</v>
      </c>
      <c r="AO44" s="25">
        <f>AO43/Main!L2-1</f>
        <v>0.33452266407228048</v>
      </c>
    </row>
    <row r="45" spans="1:41" s="3" customFormat="1" x14ac:dyDescent="0.3">
      <c r="A45" s="6" t="s">
        <v>60</v>
      </c>
      <c r="L45" s="3">
        <v>24.084</v>
      </c>
      <c r="M45" s="3">
        <v>23.199000000000002</v>
      </c>
      <c r="N45" s="3">
        <v>21.623999999999999</v>
      </c>
      <c r="O45" s="3">
        <v>21.675999999999998</v>
      </c>
      <c r="P45" s="3">
        <v>20.28</v>
      </c>
      <c r="Q45" s="3">
        <v>19.986000000000001</v>
      </c>
    </row>
    <row r="46" spans="1:41" s="3" customFormat="1" x14ac:dyDescent="0.3">
      <c r="A46" s="6" t="s">
        <v>61</v>
      </c>
      <c r="L46" s="3">
        <v>172.20699999999999</v>
      </c>
      <c r="M46" s="3">
        <v>172.20699999999999</v>
      </c>
      <c r="N46" s="3">
        <v>172.20699999999999</v>
      </c>
      <c r="O46" s="3">
        <v>172.20699999999999</v>
      </c>
      <c r="P46" s="3">
        <v>172.20699999999999</v>
      </c>
      <c r="Q46" s="3">
        <v>305.06799999999998</v>
      </c>
    </row>
    <row r="47" spans="1:41" s="13" customFormat="1" x14ac:dyDescent="0.3">
      <c r="A47" s="12" t="s">
        <v>62</v>
      </c>
      <c r="L47" s="13">
        <f t="shared" ref="L47" si="121">SUM(L37:L46)</f>
        <v>2371.1369999999993</v>
      </c>
      <c r="M47" s="13">
        <f t="shared" ref="M47" si="122">SUM(M37:M46)</f>
        <v>2308.7969999999996</v>
      </c>
      <c r="N47" s="13">
        <f t="shared" ref="N47:P47" si="123">SUM(N37:N46)</f>
        <v>2288.2269999999994</v>
      </c>
      <c r="O47" s="13">
        <f t="shared" si="123"/>
        <v>2384.0480000000002</v>
      </c>
      <c r="P47" s="13">
        <f t="shared" si="123"/>
        <v>2562.4424000000004</v>
      </c>
      <c r="Q47" s="13">
        <f>SUM(Q37:Q46)</f>
        <v>2716.9290000000001</v>
      </c>
    </row>
    <row r="48" spans="1:41" s="3" customFormat="1" x14ac:dyDescent="0.3">
      <c r="A48" s="6" t="s">
        <v>63</v>
      </c>
      <c r="L48" s="3">
        <v>134.702</v>
      </c>
      <c r="M48" s="3">
        <v>134.74100000000001</v>
      </c>
      <c r="N48" s="3">
        <v>124.185</v>
      </c>
      <c r="O48" s="3">
        <v>137.14599999999999</v>
      </c>
      <c r="P48" s="3">
        <v>134.11500000000001</v>
      </c>
      <c r="Q48" s="3">
        <v>144.46600000000001</v>
      </c>
    </row>
    <row r="49" spans="1:17" s="3" customFormat="1" x14ac:dyDescent="0.3">
      <c r="A49" s="6" t="s">
        <v>64</v>
      </c>
      <c r="L49" s="3">
        <v>184.05099999999999</v>
      </c>
      <c r="M49" s="3">
        <v>103.96299999999999</v>
      </c>
      <c r="N49" s="3">
        <v>89.853999999999999</v>
      </c>
      <c r="O49" s="3">
        <v>122.92400000000001</v>
      </c>
      <c r="P49" s="3">
        <v>207.38900000000001</v>
      </c>
      <c r="Q49" s="3">
        <v>113.80800000000001</v>
      </c>
    </row>
    <row r="50" spans="1:17" s="3" customFormat="1" x14ac:dyDescent="0.3">
      <c r="A50" s="6" t="s">
        <v>65</v>
      </c>
      <c r="L50" s="3">
        <v>145.654</v>
      </c>
      <c r="M50" s="3">
        <v>165.85900000000001</v>
      </c>
      <c r="N50" s="3">
        <v>163.23699999999999</v>
      </c>
      <c r="O50" s="3">
        <v>163.54400000000001</v>
      </c>
      <c r="P50" s="3">
        <v>172.57400000000001</v>
      </c>
      <c r="Q50" s="3">
        <v>169.291</v>
      </c>
    </row>
    <row r="51" spans="1:17" s="3" customFormat="1" x14ac:dyDescent="0.3">
      <c r="A51" s="6" t="s">
        <v>66</v>
      </c>
      <c r="L51" s="3">
        <v>966.24800000000005</v>
      </c>
      <c r="M51" s="3">
        <v>915.99199999999996</v>
      </c>
      <c r="N51" s="3">
        <v>875.67200000000003</v>
      </c>
      <c r="O51" s="3">
        <v>555.51199999999994</v>
      </c>
      <c r="P51" s="3">
        <v>530.38400000000001</v>
      </c>
      <c r="Q51" s="3">
        <v>710.28800000000001</v>
      </c>
    </row>
    <row r="52" spans="1:17" s="3" customFormat="1" x14ac:dyDescent="0.3">
      <c r="A52" s="6" t="s">
        <v>67</v>
      </c>
      <c r="L52" s="3">
        <v>0</v>
      </c>
      <c r="M52" s="3">
        <v>0</v>
      </c>
      <c r="N52" s="3">
        <v>0</v>
      </c>
      <c r="O52" s="3">
        <v>293.60399999999998</v>
      </c>
      <c r="P52" s="3">
        <v>293.91800000000001</v>
      </c>
      <c r="Q52" s="3">
        <v>294.24299999999999</v>
      </c>
    </row>
    <row r="53" spans="1:17" s="3" customFormat="1" x14ac:dyDescent="0.3">
      <c r="A53" s="6" t="s">
        <v>68</v>
      </c>
      <c r="L53" s="3">
        <v>24.661000000000001</v>
      </c>
      <c r="M53" s="3">
        <v>23.802</v>
      </c>
      <c r="N53" s="3">
        <v>22.3</v>
      </c>
      <c r="O53" s="3">
        <v>22.433</v>
      </c>
      <c r="P53" s="3">
        <v>21.114000000000001</v>
      </c>
      <c r="Q53" s="3">
        <v>20.841999999999999</v>
      </c>
    </row>
    <row r="54" spans="1:17" s="3" customFormat="1" x14ac:dyDescent="0.3">
      <c r="A54" s="6" t="s">
        <v>69</v>
      </c>
      <c r="L54" s="3">
        <v>115.128</v>
      </c>
      <c r="M54" s="3">
        <v>113.965</v>
      </c>
      <c r="N54" s="3">
        <v>93.5</v>
      </c>
      <c r="O54" s="3">
        <v>102.813</v>
      </c>
      <c r="P54" s="3">
        <v>116.795</v>
      </c>
      <c r="Q54" s="3">
        <v>112.956</v>
      </c>
    </row>
    <row r="55" spans="1:17" s="13" customFormat="1" x14ac:dyDescent="0.3">
      <c r="A55" s="12" t="s">
        <v>70</v>
      </c>
      <c r="L55" s="13">
        <f t="shared" ref="L55" si="124">SUM(L48:L54)</f>
        <v>1570.444</v>
      </c>
      <c r="M55" s="13">
        <f t="shared" ref="M55" si="125">SUM(M48:M54)</f>
        <v>1458.3219999999997</v>
      </c>
      <c r="N55" s="13">
        <f t="shared" ref="N55:P55" si="126">SUM(N48:N54)</f>
        <v>1368.7479999999998</v>
      </c>
      <c r="O55" s="13">
        <f t="shared" si="126"/>
        <v>1397.9760000000001</v>
      </c>
      <c r="P55" s="13">
        <f t="shared" si="126"/>
        <v>1476.2890000000002</v>
      </c>
      <c r="Q55" s="13">
        <f>SUM(Q48:Q54)</f>
        <v>1565.894</v>
      </c>
    </row>
    <row r="56" spans="1:17" s="3" customFormat="1" x14ac:dyDescent="0.3">
      <c r="A56" s="6" t="s">
        <v>77</v>
      </c>
      <c r="L56" s="3">
        <v>156.42099999999999</v>
      </c>
      <c r="M56" s="3">
        <v>156.25899999999999</v>
      </c>
      <c r="N56" s="3">
        <v>156.47900000000001</v>
      </c>
      <c r="O56" s="3">
        <v>148.5</v>
      </c>
      <c r="P56" s="3">
        <v>148.5</v>
      </c>
      <c r="Q56" s="3">
        <v>148.5</v>
      </c>
    </row>
    <row r="57" spans="1:17" s="3" customFormat="1" x14ac:dyDescent="0.3">
      <c r="A57" s="6" t="s">
        <v>78</v>
      </c>
      <c r="P57" s="3">
        <v>28.533000000000001</v>
      </c>
      <c r="Q57" s="3">
        <v>28.533000000000001</v>
      </c>
    </row>
    <row r="58" spans="1:17" s="13" customFormat="1" x14ac:dyDescent="0.3">
      <c r="A58" s="12" t="s">
        <v>80</v>
      </c>
      <c r="L58" s="13">
        <f t="shared" ref="L58" si="127">SUM(L56:L57)</f>
        <v>156.42099999999999</v>
      </c>
      <c r="M58" s="13">
        <f t="shared" ref="M58" si="128">SUM(M56:M57)</f>
        <v>156.25899999999999</v>
      </c>
      <c r="N58" s="13">
        <f t="shared" ref="N58:P58" si="129">SUM(N56:N57)</f>
        <v>156.47900000000001</v>
      </c>
      <c r="O58" s="13">
        <f t="shared" si="129"/>
        <v>148.5</v>
      </c>
      <c r="P58" s="13">
        <f t="shared" si="129"/>
        <v>177.03300000000002</v>
      </c>
      <c r="Q58" s="13">
        <f>SUM(Q56:Q57)</f>
        <v>177.03300000000002</v>
      </c>
    </row>
    <row r="59" spans="1:17" s="3" customFormat="1" x14ac:dyDescent="0.3">
      <c r="A59" s="6" t="s">
        <v>71</v>
      </c>
      <c r="L59" s="3">
        <v>800.69299999999998</v>
      </c>
      <c r="M59" s="3">
        <v>850.47500000000002</v>
      </c>
      <c r="N59" s="3">
        <v>919.47900000000004</v>
      </c>
      <c r="O59" s="3">
        <v>986.072</v>
      </c>
      <c r="P59" s="3">
        <v>968.70899999999995</v>
      </c>
      <c r="Q59" s="3">
        <v>968.70899999999995</v>
      </c>
    </row>
    <row r="60" spans="1:17" s="3" customFormat="1" x14ac:dyDescent="0.3">
      <c r="A60" s="6" t="s">
        <v>79</v>
      </c>
      <c r="L60" s="3">
        <v>12970</v>
      </c>
      <c r="O60" s="3">
        <v>15.375</v>
      </c>
      <c r="P60" s="3">
        <v>5.2930000000000001</v>
      </c>
      <c r="Q60" s="3">
        <v>5.2930000000000001</v>
      </c>
    </row>
    <row r="61" spans="1:17" s="13" customFormat="1" x14ac:dyDescent="0.3">
      <c r="A61" s="12" t="s">
        <v>81</v>
      </c>
      <c r="L61" s="13">
        <f t="shared" ref="L61" si="130">SUM(L59:L60)</f>
        <v>13770.692999999999</v>
      </c>
      <c r="M61" s="13">
        <f t="shared" ref="M61" si="131">SUM(M59:M60)</f>
        <v>850.47500000000002</v>
      </c>
      <c r="N61" s="13">
        <f t="shared" ref="N61:P61" si="132">SUM(N59:N60)</f>
        <v>919.47900000000004</v>
      </c>
      <c r="O61" s="13">
        <f t="shared" si="132"/>
        <v>1001.447</v>
      </c>
      <c r="P61" s="13">
        <f t="shared" si="132"/>
        <v>974.00199999999995</v>
      </c>
      <c r="Q61" s="13">
        <f>SUM(Q59:Q60)</f>
        <v>974.00199999999995</v>
      </c>
    </row>
    <row r="62" spans="1:17" s="13" customFormat="1" x14ac:dyDescent="0.3">
      <c r="A62" s="12" t="s">
        <v>72</v>
      </c>
      <c r="L62" s="13">
        <f t="shared" ref="L62" si="133">L61+L55+L58</f>
        <v>15497.557999999999</v>
      </c>
      <c r="M62" s="13">
        <f>M61+M55</f>
        <v>2308.7969999999996</v>
      </c>
      <c r="N62" s="13">
        <f>N61+N55</f>
        <v>2288.2269999999999</v>
      </c>
      <c r="O62" s="13">
        <f t="shared" ref="O62:P62" si="134">O61+O55+O58</f>
        <v>2547.9230000000002</v>
      </c>
      <c r="P62" s="13">
        <f t="shared" si="134"/>
        <v>2627.3240000000001</v>
      </c>
      <c r="Q62" s="13">
        <f>Q61+Q55+Q58</f>
        <v>2716.9289999999996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2024-05-27T18:59:58Z</dcterms:modified>
</cp:coreProperties>
</file>