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942" documentId="8_{B7858D9F-3B9B-420C-804A-1E75B460065D}" xr6:coauthVersionLast="47" xr6:coauthVersionMax="47" xr10:uidLastSave="{3987DFA9-444B-45C4-9407-7AF0EC9D799B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31" i="2"/>
  <c r="C33" i="2" s="1"/>
  <c r="AF41" i="1" l="1"/>
  <c r="AD23" i="1"/>
  <c r="AC23" i="1"/>
  <c r="AB23" i="1"/>
  <c r="AA23" i="1"/>
  <c r="Z23" i="1"/>
  <c r="Y23" i="1"/>
  <c r="X23" i="1"/>
  <c r="W23" i="1"/>
  <c r="V23" i="1"/>
  <c r="U23" i="1"/>
  <c r="T23" i="1"/>
  <c r="AD22" i="1"/>
  <c r="AC22" i="1"/>
  <c r="AB22" i="1"/>
  <c r="AA22" i="1"/>
  <c r="Z22" i="1"/>
  <c r="Y22" i="1"/>
  <c r="X22" i="1"/>
  <c r="W22" i="1"/>
  <c r="V22" i="1"/>
  <c r="U22" i="1"/>
  <c r="T22" i="1"/>
  <c r="AD21" i="1"/>
  <c r="AC21" i="1"/>
  <c r="AB21" i="1"/>
  <c r="AA21" i="1"/>
  <c r="Z21" i="1"/>
  <c r="Y21" i="1"/>
  <c r="X21" i="1"/>
  <c r="W21" i="1"/>
  <c r="V21" i="1"/>
  <c r="U21" i="1"/>
  <c r="T21" i="1"/>
  <c r="AD20" i="1"/>
  <c r="AC20" i="1"/>
  <c r="AB20" i="1"/>
  <c r="AA20" i="1"/>
  <c r="Z20" i="1"/>
  <c r="Y20" i="1"/>
  <c r="X20" i="1"/>
  <c r="W20" i="1"/>
  <c r="V20" i="1"/>
  <c r="U20" i="1"/>
  <c r="T20" i="1"/>
  <c r="AD17" i="1"/>
  <c r="AC17" i="1"/>
  <c r="AB17" i="1"/>
  <c r="AA17" i="1"/>
  <c r="Z17" i="1"/>
  <c r="Y17" i="1"/>
  <c r="X17" i="1"/>
  <c r="W17" i="1"/>
  <c r="V17" i="1"/>
  <c r="U17" i="1"/>
  <c r="T17" i="1"/>
  <c r="AF40" i="1"/>
  <c r="AF39" i="1"/>
  <c r="AF37" i="1"/>
  <c r="AF12" i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AE12" i="1"/>
  <c r="T15" i="1"/>
  <c r="T14" i="1"/>
  <c r="L17" i="1"/>
  <c r="L4" i="1"/>
  <c r="K6" i="1"/>
  <c r="M3" i="1"/>
  <c r="M6" i="1" s="1"/>
  <c r="L3" i="1"/>
  <c r="L8" i="1" s="1"/>
  <c r="K3" i="1"/>
  <c r="K17" i="1" s="1"/>
  <c r="K4" i="1" l="1"/>
  <c r="M4" i="1"/>
  <c r="M5" i="1" s="1"/>
  <c r="M17" i="1"/>
  <c r="K5" i="1"/>
  <c r="K20" i="1" s="1"/>
  <c r="L5" i="1"/>
  <c r="K18" i="1"/>
  <c r="K8" i="1"/>
  <c r="T8" i="1" s="1"/>
  <c r="L6" i="1"/>
  <c r="T6" i="1" s="1"/>
  <c r="L18" i="1"/>
  <c r="K7" i="1"/>
  <c r="M18" i="1"/>
  <c r="M8" i="1"/>
  <c r="T3" i="1"/>
  <c r="U3" i="1" s="1"/>
  <c r="M7" i="1" l="1"/>
  <c r="M20" i="1"/>
  <c r="U6" i="1"/>
  <c r="V3" i="1"/>
  <c r="U8" i="1"/>
  <c r="U4" i="1"/>
  <c r="U5" i="1" s="1"/>
  <c r="U7" i="1" s="1"/>
  <c r="U10" i="1" s="1"/>
  <c r="L7" i="1"/>
  <c r="L20" i="1"/>
  <c r="K10" i="1"/>
  <c r="K21" i="1"/>
  <c r="T4" i="1"/>
  <c r="S81" i="1"/>
  <c r="S34" i="1"/>
  <c r="R34" i="1"/>
  <c r="S33" i="1"/>
  <c r="R33" i="1"/>
  <c r="R51" i="1"/>
  <c r="R56" i="1" s="1"/>
  <c r="R58" i="1" s="1"/>
  <c r="R42" i="1"/>
  <c r="R39" i="1"/>
  <c r="S51" i="1"/>
  <c r="S56" i="1" s="1"/>
  <c r="S58" i="1" s="1"/>
  <c r="S42" i="1"/>
  <c r="S39" i="1"/>
  <c r="E34" i="1"/>
  <c r="E97" i="1" s="1"/>
  <c r="E33" i="1"/>
  <c r="E51" i="1"/>
  <c r="E56" i="1" s="1"/>
  <c r="E58" i="1" s="1"/>
  <c r="E42" i="1"/>
  <c r="E39" i="1"/>
  <c r="I34" i="1"/>
  <c r="H34" i="1"/>
  <c r="G34" i="1"/>
  <c r="F34" i="1"/>
  <c r="I33" i="1"/>
  <c r="H33" i="1"/>
  <c r="G33" i="1"/>
  <c r="F33" i="1"/>
  <c r="L10" i="1" l="1"/>
  <c r="L11" i="1" s="1"/>
  <c r="L21" i="1"/>
  <c r="U11" i="1"/>
  <c r="U12" i="1" s="1"/>
  <c r="U13" i="1" s="1"/>
  <c r="V6" i="1"/>
  <c r="W3" i="1"/>
  <c r="V8" i="1"/>
  <c r="V4" i="1"/>
  <c r="V5" i="1" s="1"/>
  <c r="V7" i="1" s="1"/>
  <c r="V10" i="1" s="1"/>
  <c r="V11" i="1" s="1"/>
  <c r="V12" i="1" s="1"/>
  <c r="V13" i="1" s="1"/>
  <c r="F97" i="1"/>
  <c r="S44" i="1"/>
  <c r="S100" i="1" s="1"/>
  <c r="K11" i="1"/>
  <c r="M10" i="1"/>
  <c r="M11" i="1" s="1"/>
  <c r="M21" i="1"/>
  <c r="E32" i="1"/>
  <c r="R97" i="1"/>
  <c r="I97" i="1"/>
  <c r="S97" i="1"/>
  <c r="F32" i="1"/>
  <c r="R44" i="1"/>
  <c r="R100" i="1" s="1"/>
  <c r="G32" i="1"/>
  <c r="S99" i="1"/>
  <c r="R32" i="1"/>
  <c r="E44" i="1"/>
  <c r="E100" i="1" s="1"/>
  <c r="S32" i="1"/>
  <c r="H32" i="1"/>
  <c r="I32" i="1"/>
  <c r="H97" i="1"/>
  <c r="G97" i="1"/>
  <c r="G42" i="1"/>
  <c r="H42" i="1"/>
  <c r="J74" i="1"/>
  <c r="H86" i="1"/>
  <c r="I86" i="1" s="1"/>
  <c r="H85" i="1"/>
  <c r="I85" i="1" s="1"/>
  <c r="H75" i="1"/>
  <c r="J84" i="1"/>
  <c r="J87" i="1"/>
  <c r="G87" i="1"/>
  <c r="G78" i="1"/>
  <c r="G83" i="1"/>
  <c r="G82" i="1"/>
  <c r="G80" i="1"/>
  <c r="G79" i="1"/>
  <c r="G77" i="1"/>
  <c r="G76" i="1"/>
  <c r="G73" i="1"/>
  <c r="G72" i="1"/>
  <c r="G70" i="1"/>
  <c r="G69" i="1"/>
  <c r="G68" i="1"/>
  <c r="G67" i="1"/>
  <c r="G66" i="1"/>
  <c r="G65" i="1"/>
  <c r="G64" i="1"/>
  <c r="G63" i="1"/>
  <c r="G62" i="1"/>
  <c r="G61" i="1"/>
  <c r="F87" i="1"/>
  <c r="F84" i="1"/>
  <c r="F74" i="1"/>
  <c r="M51" i="1"/>
  <c r="L51" i="1"/>
  <c r="K51" i="1"/>
  <c r="J51" i="1"/>
  <c r="I51" i="1"/>
  <c r="H51" i="1"/>
  <c r="G51" i="1"/>
  <c r="F51" i="1"/>
  <c r="F42" i="1"/>
  <c r="W8" i="1" l="1"/>
  <c r="W4" i="1"/>
  <c r="W5" i="1" s="1"/>
  <c r="W6" i="1"/>
  <c r="X3" i="1"/>
  <c r="M12" i="1"/>
  <c r="M23" i="1"/>
  <c r="T11" i="1"/>
  <c r="K23" i="1"/>
  <c r="K12" i="1"/>
  <c r="L12" i="1"/>
  <c r="L23" i="1"/>
  <c r="R99" i="1"/>
  <c r="I87" i="1"/>
  <c r="H62" i="1"/>
  <c r="I62" i="1" s="1"/>
  <c r="H70" i="1"/>
  <c r="I70" i="1" s="1"/>
  <c r="H63" i="1"/>
  <c r="I63" i="1" s="1"/>
  <c r="H72" i="1"/>
  <c r="H78" i="1"/>
  <c r="I78" i="1" s="1"/>
  <c r="H77" i="1"/>
  <c r="I77" i="1" s="1"/>
  <c r="H79" i="1"/>
  <c r="I79" i="1" s="1"/>
  <c r="I75" i="1"/>
  <c r="S75" i="1" s="1"/>
  <c r="E99" i="1"/>
  <c r="H64" i="1"/>
  <c r="I64" i="1" s="1"/>
  <c r="H80" i="1"/>
  <c r="I80" i="1" s="1"/>
  <c r="H61" i="1"/>
  <c r="I61" i="1" s="1"/>
  <c r="H69" i="1"/>
  <c r="I69" i="1" s="1"/>
  <c r="G74" i="1"/>
  <c r="G84" i="1"/>
  <c r="H65" i="1"/>
  <c r="I65" i="1" s="1"/>
  <c r="H73" i="1"/>
  <c r="I73" i="1" s="1"/>
  <c r="H82" i="1"/>
  <c r="I82" i="1" s="1"/>
  <c r="H66" i="1"/>
  <c r="I66" i="1" s="1"/>
  <c r="H83" i="1"/>
  <c r="I83" i="1" s="1"/>
  <c r="H67" i="1"/>
  <c r="I67" i="1" s="1"/>
  <c r="H68" i="1"/>
  <c r="I68" i="1" s="1"/>
  <c r="H76" i="1"/>
  <c r="I76" i="1" s="1"/>
  <c r="H87" i="1"/>
  <c r="L6" i="2"/>
  <c r="L8" i="2"/>
  <c r="J34" i="1"/>
  <c r="J33" i="1"/>
  <c r="M56" i="1"/>
  <c r="M58" i="1" s="1"/>
  <c r="M39" i="1"/>
  <c r="M44" i="1" s="1"/>
  <c r="L56" i="1"/>
  <c r="L58" i="1" s="1"/>
  <c r="L39" i="1"/>
  <c r="L44" i="1" s="1"/>
  <c r="K56" i="1"/>
  <c r="K58" i="1" s="1"/>
  <c r="K39" i="1"/>
  <c r="K44" i="1" s="1"/>
  <c r="H56" i="1"/>
  <c r="H58" i="1" s="1"/>
  <c r="G56" i="1"/>
  <c r="G58" i="1" s="1"/>
  <c r="F56" i="1"/>
  <c r="F58" i="1" s="1"/>
  <c r="I56" i="1"/>
  <c r="I58" i="1" s="1"/>
  <c r="J56" i="1"/>
  <c r="J58" i="1" s="1"/>
  <c r="I42" i="1"/>
  <c r="I39" i="1"/>
  <c r="H39" i="1"/>
  <c r="H44" i="1" s="1"/>
  <c r="G39" i="1"/>
  <c r="G44" i="1" s="1"/>
  <c r="F39" i="1"/>
  <c r="F44" i="1" s="1"/>
  <c r="J42" i="1"/>
  <c r="J39" i="1"/>
  <c r="S14" i="1"/>
  <c r="R14" i="1"/>
  <c r="S15" i="1"/>
  <c r="R15" i="1"/>
  <c r="S11" i="1"/>
  <c r="R11" i="1"/>
  <c r="S8" i="1"/>
  <c r="R8" i="1"/>
  <c r="S6" i="1"/>
  <c r="R6" i="1"/>
  <c r="R4" i="1"/>
  <c r="S4" i="1"/>
  <c r="R3" i="1"/>
  <c r="S3" i="1"/>
  <c r="I18" i="1"/>
  <c r="H18" i="1"/>
  <c r="G18" i="1"/>
  <c r="F18" i="1"/>
  <c r="E18" i="1"/>
  <c r="D18" i="1"/>
  <c r="C18" i="1"/>
  <c r="I17" i="1"/>
  <c r="H17" i="1"/>
  <c r="G17" i="1"/>
  <c r="F17" i="1"/>
  <c r="J18" i="1"/>
  <c r="J17" i="1"/>
  <c r="B5" i="1"/>
  <c r="B7" i="1" s="1"/>
  <c r="B10" i="1" s="1"/>
  <c r="B12" i="1" s="1"/>
  <c r="B13" i="1" s="1"/>
  <c r="C5" i="1"/>
  <c r="C7" i="1" s="1"/>
  <c r="C10" i="1" s="1"/>
  <c r="C12" i="1" s="1"/>
  <c r="C13" i="1" s="1"/>
  <c r="G5" i="1"/>
  <c r="G7" i="1" s="1"/>
  <c r="D5" i="1"/>
  <c r="D7" i="1" s="1"/>
  <c r="D10" i="1" s="1"/>
  <c r="H5" i="1"/>
  <c r="H7" i="1" s="1"/>
  <c r="E5" i="1"/>
  <c r="E7" i="1" s="1"/>
  <c r="I5" i="1"/>
  <c r="I7" i="1" s="1"/>
  <c r="F5" i="1"/>
  <c r="F7" i="1" s="1"/>
  <c r="J5" i="1"/>
  <c r="L4" i="2"/>
  <c r="M13" i="1" l="1"/>
  <c r="M22" i="1"/>
  <c r="X6" i="1"/>
  <c r="X4" i="1"/>
  <c r="X5" i="1" s="1"/>
  <c r="X7" i="1" s="1"/>
  <c r="X10" i="1" s="1"/>
  <c r="X11" i="1" s="1"/>
  <c r="X12" i="1" s="1"/>
  <c r="X13" i="1" s="1"/>
  <c r="X8" i="1"/>
  <c r="Y3" i="1"/>
  <c r="L13" i="1"/>
  <c r="L22" i="1"/>
  <c r="W7" i="1"/>
  <c r="W10" i="1" s="1"/>
  <c r="W11" i="1" s="1"/>
  <c r="W12" i="1" s="1"/>
  <c r="W13" i="1" s="1"/>
  <c r="J7" i="1"/>
  <c r="T7" i="1" s="1"/>
  <c r="T5" i="1"/>
  <c r="K13" i="1"/>
  <c r="K22" i="1"/>
  <c r="S62" i="1"/>
  <c r="S83" i="1"/>
  <c r="S70" i="1"/>
  <c r="S67" i="1"/>
  <c r="S66" i="1"/>
  <c r="S76" i="1"/>
  <c r="S61" i="1"/>
  <c r="S64" i="1"/>
  <c r="S77" i="1"/>
  <c r="S63" i="1"/>
  <c r="S65" i="1"/>
  <c r="S80" i="1"/>
  <c r="S73" i="1"/>
  <c r="I72" i="1"/>
  <c r="S72" i="1" s="1"/>
  <c r="S78" i="1"/>
  <c r="S82" i="1"/>
  <c r="S68" i="1"/>
  <c r="S79" i="1"/>
  <c r="S69" i="1"/>
  <c r="F10" i="1"/>
  <c r="F12" i="1" s="1"/>
  <c r="I10" i="1"/>
  <c r="I12" i="1" s="1"/>
  <c r="I60" i="1" s="1"/>
  <c r="I71" i="1" s="1"/>
  <c r="F100" i="1"/>
  <c r="F99" i="1"/>
  <c r="G99" i="1"/>
  <c r="G100" i="1"/>
  <c r="E10" i="1"/>
  <c r="E12" i="1" s="1"/>
  <c r="E13" i="1" s="1"/>
  <c r="H21" i="1"/>
  <c r="G10" i="1"/>
  <c r="G12" i="1" s="1"/>
  <c r="G60" i="1" s="1"/>
  <c r="G71" i="1" s="1"/>
  <c r="J97" i="1"/>
  <c r="H99" i="1"/>
  <c r="H100" i="1"/>
  <c r="H84" i="1"/>
  <c r="J32" i="1"/>
  <c r="I84" i="1"/>
  <c r="H74" i="1"/>
  <c r="G13" i="1"/>
  <c r="F13" i="1"/>
  <c r="F60" i="1"/>
  <c r="F71" i="1" s="1"/>
  <c r="B20" i="1"/>
  <c r="I44" i="1"/>
  <c r="E21" i="1"/>
  <c r="J44" i="1"/>
  <c r="B22" i="1"/>
  <c r="H10" i="1"/>
  <c r="H23" i="1" s="1"/>
  <c r="H98" i="1" s="1"/>
  <c r="S17" i="1"/>
  <c r="F21" i="1"/>
  <c r="F23" i="1"/>
  <c r="F98" i="1" s="1"/>
  <c r="C20" i="1"/>
  <c r="E20" i="1"/>
  <c r="F20" i="1"/>
  <c r="F22" i="1"/>
  <c r="C22" i="1"/>
  <c r="J20" i="1"/>
  <c r="B21" i="1"/>
  <c r="B23" i="1"/>
  <c r="C21" i="1"/>
  <c r="C23" i="1"/>
  <c r="J10" i="1"/>
  <c r="T10" i="1" s="1"/>
  <c r="J21" i="1"/>
  <c r="D23" i="1"/>
  <c r="D21" i="1"/>
  <c r="G20" i="1"/>
  <c r="G21" i="1"/>
  <c r="S5" i="1"/>
  <c r="S20" i="1" s="1"/>
  <c r="R5" i="1"/>
  <c r="R20" i="1" s="1"/>
  <c r="H20" i="1"/>
  <c r="R7" i="1"/>
  <c r="I20" i="1"/>
  <c r="I21" i="1"/>
  <c r="S7" i="1"/>
  <c r="D20" i="1"/>
  <c r="D12" i="1"/>
  <c r="L7" i="2"/>
  <c r="I22" i="1" l="1"/>
  <c r="I13" i="1"/>
  <c r="Z3" i="1"/>
  <c r="Y6" i="1"/>
  <c r="Y4" i="1"/>
  <c r="Y5" i="1" s="1"/>
  <c r="Y8" i="1"/>
  <c r="I74" i="1"/>
  <c r="S74" i="1" s="1"/>
  <c r="R10" i="1"/>
  <c r="R23" i="1" s="1"/>
  <c r="R98" i="1" s="1"/>
  <c r="R30" i="1" s="1"/>
  <c r="S84" i="1"/>
  <c r="E22" i="1"/>
  <c r="I23" i="1"/>
  <c r="I98" i="1" s="1"/>
  <c r="E23" i="1"/>
  <c r="E98" i="1" s="1"/>
  <c r="R21" i="1"/>
  <c r="S21" i="1"/>
  <c r="I26" i="1"/>
  <c r="I25" i="1"/>
  <c r="G26" i="1"/>
  <c r="G25" i="1"/>
  <c r="F26" i="1"/>
  <c r="F25" i="1"/>
  <c r="I99" i="1"/>
  <c r="I100" i="1"/>
  <c r="G22" i="1"/>
  <c r="J100" i="1"/>
  <c r="J99" i="1"/>
  <c r="G23" i="1"/>
  <c r="G98" i="1" s="1"/>
  <c r="H12" i="1"/>
  <c r="I29" i="1" s="1"/>
  <c r="S10" i="1"/>
  <c r="S23" i="1" s="1"/>
  <c r="S98" i="1" s="1"/>
  <c r="S30" i="1" s="1"/>
  <c r="D13" i="1"/>
  <c r="R13" i="1" s="1"/>
  <c r="R12" i="1"/>
  <c r="D22" i="1"/>
  <c r="J12" i="1"/>
  <c r="J23" i="1"/>
  <c r="J98" i="1" s="1"/>
  <c r="Y7" i="1" l="1"/>
  <c r="Y10" i="1" s="1"/>
  <c r="J60" i="1"/>
  <c r="J71" i="1" s="1"/>
  <c r="T12" i="1"/>
  <c r="AA3" i="1"/>
  <c r="Z8" i="1"/>
  <c r="Z4" i="1"/>
  <c r="Z5" i="1" s="1"/>
  <c r="Z6" i="1"/>
  <c r="H30" i="1"/>
  <c r="J30" i="1"/>
  <c r="R22" i="1"/>
  <c r="R60" i="1"/>
  <c r="R29" i="1"/>
  <c r="R28" i="1"/>
  <c r="I28" i="1"/>
  <c r="J25" i="1"/>
  <c r="J26" i="1"/>
  <c r="I30" i="1"/>
  <c r="H60" i="1"/>
  <c r="H71" i="1" s="1"/>
  <c r="S71" i="1" s="1"/>
  <c r="H29" i="1"/>
  <c r="H28" i="1"/>
  <c r="S12" i="1"/>
  <c r="H22" i="1"/>
  <c r="H13" i="1"/>
  <c r="S13" i="1" s="1"/>
  <c r="J28" i="1"/>
  <c r="J29" i="1"/>
  <c r="J13" i="1"/>
  <c r="T13" i="1" s="1"/>
  <c r="J22" i="1"/>
  <c r="Z7" i="1" l="1"/>
  <c r="Z10" i="1" s="1"/>
  <c r="AA4" i="1"/>
  <c r="AA5" i="1" s="1"/>
  <c r="AA8" i="1"/>
  <c r="AB3" i="1"/>
  <c r="AA6" i="1"/>
  <c r="AA7" i="1" s="1"/>
  <c r="AA10" i="1" s="1"/>
  <c r="AA11" i="1" s="1"/>
  <c r="AA12" i="1" s="1"/>
  <c r="AA13" i="1" s="1"/>
  <c r="Y11" i="1"/>
  <c r="Y12" i="1"/>
  <c r="Y13" i="1" s="1"/>
  <c r="S22" i="1"/>
  <c r="S29" i="1"/>
  <c r="S28" i="1"/>
  <c r="S60" i="1"/>
  <c r="S26" i="1"/>
  <c r="L17" i="2" s="1"/>
  <c r="S25" i="1"/>
  <c r="H26" i="1"/>
  <c r="H25" i="1"/>
  <c r="AB8" i="1" l="1"/>
  <c r="AB4" i="1"/>
  <c r="AB5" i="1" s="1"/>
  <c r="AB7" i="1" s="1"/>
  <c r="AB10" i="1" s="1"/>
  <c r="AB11" i="1" s="1"/>
  <c r="AB12" i="1" s="1"/>
  <c r="AB13" i="1" s="1"/>
  <c r="AC3" i="1"/>
  <c r="AB6" i="1"/>
  <c r="Z11" i="1"/>
  <c r="Z12" i="1"/>
  <c r="Z13" i="1" s="1"/>
  <c r="AD3" i="1" l="1"/>
  <c r="AC8" i="1"/>
  <c r="AC4" i="1"/>
  <c r="AC5" i="1" s="1"/>
  <c r="AC6" i="1"/>
  <c r="AC7" i="1" l="1"/>
  <c r="AC10" i="1" s="1"/>
  <c r="AC11" i="1" s="1"/>
  <c r="AC12" i="1" s="1"/>
  <c r="AC13" i="1" s="1"/>
  <c r="AD8" i="1"/>
  <c r="AD4" i="1"/>
  <c r="AD5" i="1"/>
  <c r="AD6" i="1"/>
  <c r="AD7" i="1" l="1"/>
  <c r="AD10" i="1" s="1"/>
  <c r="AD11" i="1" s="1"/>
  <c r="AD12" i="1" s="1"/>
  <c r="AD13" i="1" s="1"/>
</calcChain>
</file>

<file path=xl/sharedStrings.xml><?xml version="1.0" encoding="utf-8"?>
<sst xmlns="http://schemas.openxmlformats.org/spreadsheetml/2006/main" count="175" uniqueCount="154">
  <si>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</si>
  <si>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</si>
  <si>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</si>
  <si>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</si>
  <si>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</si>
  <si>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</si>
  <si>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</si>
  <si>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</si>
  <si>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</si>
  <si>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</si>
  <si>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</si>
  <si>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</si>
  <si>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</si>
  <si>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</si>
  <si>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</si>
  <si>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</si>
  <si>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</si>
  <si>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Model</t>
  </si>
  <si>
    <t>Q124</t>
  </si>
  <si>
    <t>Q224</t>
  </si>
  <si>
    <t>Q324</t>
  </si>
  <si>
    <t>Q424</t>
  </si>
  <si>
    <t>DOLLAR GENERAL, INC</t>
  </si>
  <si>
    <t>Net sales</t>
  </si>
  <si>
    <t>COGS</t>
  </si>
  <si>
    <t>Gross Profit</t>
  </si>
  <si>
    <t>SG&amp;A</t>
  </si>
  <si>
    <t>Operating income</t>
  </si>
  <si>
    <t>Interest expense, net</t>
  </si>
  <si>
    <t>Pretax</t>
  </si>
  <si>
    <t>Taxes</t>
  </si>
  <si>
    <t>Net income</t>
  </si>
  <si>
    <t>EPS</t>
  </si>
  <si>
    <t>Dividends</t>
  </si>
  <si>
    <t>Shares basic</t>
  </si>
  <si>
    <t>Other (income) expense</t>
  </si>
  <si>
    <t>Revenue Y/Y</t>
  </si>
  <si>
    <t>Revenue Q/Q</t>
  </si>
  <si>
    <t>Gross Margin %</t>
  </si>
  <si>
    <t>Operating Margin %</t>
  </si>
  <si>
    <t>Net Margin %</t>
  </si>
  <si>
    <t>Tax Rate %</t>
  </si>
  <si>
    <t>Cash Flow</t>
  </si>
  <si>
    <t>Free Cash Flow</t>
  </si>
  <si>
    <t>ROA</t>
  </si>
  <si>
    <t>ROE</t>
  </si>
  <si>
    <t>ROIC</t>
  </si>
  <si>
    <t>Cash and equivalents</t>
  </si>
  <si>
    <t>Merchandise inventories</t>
  </si>
  <si>
    <t>Income taxes receivable</t>
  </si>
  <si>
    <t>Prepaid</t>
  </si>
  <si>
    <t>Current assets</t>
  </si>
  <si>
    <t>P&amp;E</t>
  </si>
  <si>
    <t>Leases</t>
  </si>
  <si>
    <t>Goodwill + Intangibles</t>
  </si>
  <si>
    <t>OA</t>
  </si>
  <si>
    <t>Assets</t>
  </si>
  <si>
    <t>Current portion of long-term obligations</t>
  </si>
  <si>
    <t>Current portion of lease liabilities</t>
  </si>
  <si>
    <t>A/P</t>
  </si>
  <si>
    <t>Accrued expenses</t>
  </si>
  <si>
    <t>Income taxes payable</t>
  </si>
  <si>
    <t>Current liabilities</t>
  </si>
  <si>
    <t>Long-term obligations</t>
  </si>
  <si>
    <t>Long-term operating leases</t>
  </si>
  <si>
    <t>DT</t>
  </si>
  <si>
    <t>Other</t>
  </si>
  <si>
    <t>Liabilities</t>
  </si>
  <si>
    <t>SE</t>
  </si>
  <si>
    <t>L+SE</t>
  </si>
  <si>
    <t>Net cash</t>
  </si>
  <si>
    <t>DG</t>
  </si>
  <si>
    <t>Todd Vasos</t>
  </si>
  <si>
    <t>Executives</t>
  </si>
  <si>
    <t>Name</t>
  </si>
  <si>
    <t>Age</t>
  </si>
  <si>
    <t>Role</t>
  </si>
  <si>
    <t>Kelly Dilts</t>
  </si>
  <si>
    <t>Steven Deckard</t>
  </si>
  <si>
    <t>Kathleen Reardon</t>
  </si>
  <si>
    <t>Emily Taylor</t>
  </si>
  <si>
    <t>Rhonda Taylor</t>
  </si>
  <si>
    <t>Carman Wenkoff</t>
  </si>
  <si>
    <t>Roderick West</t>
  </si>
  <si>
    <t>Anita Elliott</t>
  </si>
  <si>
    <t>CFO</t>
  </si>
  <si>
    <t>HR</t>
  </si>
  <si>
    <t>Merch</t>
  </si>
  <si>
    <t>Counsel</t>
  </si>
  <si>
    <t>CIO</t>
  </si>
  <si>
    <t>Supply</t>
  </si>
  <si>
    <t>CAO</t>
  </si>
  <si>
    <t>Operation</t>
  </si>
  <si>
    <t>DG is the largest discount retailer in the US by number of stores, with 20,022 stores located</t>
  </si>
  <si>
    <t>in 48 US states and Mexico as of March 1, 2024, with the greatest concentration of stores in</t>
  </si>
  <si>
    <t>the southern, midwestern and eastern US.</t>
  </si>
  <si>
    <t>Their first stores opened in Mexico in 2023. They offer a broad selection of merchandise,</t>
  </si>
  <si>
    <t>including consumable items, seasonal items, home products and apparel. Their merchandise</t>
  </si>
  <si>
    <t>includes national brands from leading manufacturers, as well as their own private brand</t>
  </si>
  <si>
    <t>selections with prices at substantial discounts to national brands. They offer their customers</t>
  </si>
  <si>
    <t>these national brand and private brand products at everyday low prices (typically $10 or less)</t>
  </si>
  <si>
    <t>in convenient small-box locations.</t>
  </si>
  <si>
    <t>Short-term borrowings</t>
  </si>
  <si>
    <t>Reported NI</t>
  </si>
  <si>
    <t>D&amp;A</t>
  </si>
  <si>
    <t>SBC, noncash</t>
  </si>
  <si>
    <t>Other noncash (gains) and losses</t>
  </si>
  <si>
    <t>Accrued expenses &amp; other</t>
  </si>
  <si>
    <t>Income taxes</t>
  </si>
  <si>
    <t xml:space="preserve">Other </t>
  </si>
  <si>
    <t>CFFO</t>
  </si>
  <si>
    <t>Purchases of P&amp;E</t>
  </si>
  <si>
    <t>Proceeds from sales of P&amp;E</t>
  </si>
  <si>
    <t>CFFI</t>
  </si>
  <si>
    <t>Repayments of long-term obligations</t>
  </si>
  <si>
    <t>Net increase (decrease) commercial paper</t>
  </si>
  <si>
    <t>Borrowings under revolving credit facilities</t>
  </si>
  <si>
    <t>Repayments of borrowings revolving cre.</t>
  </si>
  <si>
    <t>Buyback</t>
  </si>
  <si>
    <t>Dividend</t>
  </si>
  <si>
    <t>Other equity related transactions</t>
  </si>
  <si>
    <t>CFFF</t>
  </si>
  <si>
    <t>Increase (decrease) in cash</t>
  </si>
  <si>
    <t>Cash at beginning of period</t>
  </si>
  <si>
    <t>Cash at end of period</t>
  </si>
  <si>
    <t>Supplemental concash investing and fin.</t>
  </si>
  <si>
    <t>ROU assets obtained in exch. for new operating lease liabilities</t>
  </si>
  <si>
    <t>Purchases of P&amp;E awaiting processing for payment, included in A/P</t>
  </si>
  <si>
    <t>Issuance of long-term obligations</t>
  </si>
  <si>
    <t>Debt issuance costs</t>
  </si>
  <si>
    <t>Fiscal 2024 Guidance and Store Growth Outlook</t>
  </si>
  <si>
    <t>Net sales growth in the range of 6.0% to 6.7%</t>
  </si>
  <si>
    <t>Same-store sales growth in the range of 2.0% to 2.7%</t>
  </si>
  <si>
    <t>Diluted EPS in the range of approx. $6.80 to $7.55</t>
  </si>
  <si>
    <t>*The currently anticipates an estimated negative impact to EPS of approx. $0.50</t>
  </si>
  <si>
    <t>* do to higher incentive compensation expense.</t>
  </si>
  <si>
    <t>*Diluted EPS guidance assumes an effective tax rate in the range of</t>
  </si>
  <si>
    <t>approx. 22.5% to 23.5%</t>
  </si>
  <si>
    <t xml:space="preserve">Capital expenditures, including those related to investments in the </t>
  </si>
  <si>
    <t>companys strategic initiatives, in the range of $1.3B to $1.4B</t>
  </si>
  <si>
    <t>Supplemental cash flow info</t>
  </si>
  <si>
    <t>Interest</t>
  </si>
  <si>
    <t>Invested Capital</t>
  </si>
  <si>
    <t>NOPAT</t>
  </si>
  <si>
    <t>Book Value</t>
  </si>
  <si>
    <t>Tangible Book Value</t>
  </si>
  <si>
    <t>WACC</t>
  </si>
  <si>
    <t>FCF p/s</t>
  </si>
  <si>
    <t>Maturity</t>
  </si>
  <si>
    <t>Discount</t>
  </si>
  <si>
    <t>NPV</t>
  </si>
  <si>
    <t>Value</t>
  </si>
  <si>
    <t>Per Share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</si>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</sst>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0"/>
      <name val="Arial"/>
      <family val="2"/>
    </font>
    <font>
      <b/>
      <sz val="14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14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3" fontId="2" fillId="0" borderId="1" xfId="0" applyNumberFormat="1" applyFont="1" applyBorder="1"/>
    <xf numFmtId="0" fontId="6" fillId="0" borderId="0" xfId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0" xfId="0" applyFont="1" applyFill="1"/>
    <xf numFmtId="14" fontId="10" fillId="2" borderId="0" xfId="0" applyNumberFormat="1" applyFont="1" applyFill="1"/>
    <xf numFmtId="3" fontId="12" fillId="2" borderId="2" xfId="0" applyNumberFormat="1" applyFont="1" applyFill="1" applyBorder="1"/>
    <xf numFmtId="3" fontId="12" fillId="0" borderId="2" xfId="0" applyNumberFormat="1" applyFont="1" applyBorder="1"/>
    <xf numFmtId="0" fontId="12" fillId="2" borderId="3" xfId="0" applyFont="1" applyFill="1" applyBorder="1"/>
    <xf numFmtId="0" fontId="12" fillId="0" borderId="3" xfId="0" applyFont="1" applyBorder="1"/>
    <xf numFmtId="0" fontId="12" fillId="2" borderId="2" xfId="0" applyFont="1" applyFill="1" applyBorder="1"/>
    <xf numFmtId="0" fontId="12" fillId="0" borderId="2" xfId="0" applyFont="1" applyBorder="1"/>
    <xf numFmtId="0" fontId="12" fillId="2" borderId="0" xfId="0" applyFont="1" applyFill="1" applyBorder="1"/>
    <xf numFmtId="0" fontId="12" fillId="0" borderId="0" xfId="0" applyFont="1" applyBorder="1"/>
    <xf numFmtId="3" fontId="5" fillId="2" borderId="0" xfId="0" applyNumberFormat="1" applyFont="1" applyFill="1"/>
    <xf numFmtId="3" fontId="5" fillId="0" borderId="0" xfId="0" applyNumberFormat="1" applyFont="1"/>
    <xf numFmtId="3" fontId="1" fillId="2" borderId="0" xfId="0" applyNumberFormat="1" applyFont="1" applyFill="1"/>
    <xf numFmtId="3" fontId="1" fillId="0" borderId="0" xfId="0" applyNumberFormat="1" applyFont="1"/>
    <xf numFmtId="4" fontId="1" fillId="0" borderId="0" xfId="0" applyNumberFormat="1" applyFont="1"/>
    <xf numFmtId="4" fontId="1" fillId="2" borderId="0" xfId="0" applyNumberFormat="1" applyFont="1" applyFill="1"/>
    <xf numFmtId="0" fontId="1" fillId="0" borderId="0" xfId="0" applyFont="1"/>
    <xf numFmtId="9" fontId="12" fillId="0" borderId="2" xfId="0" applyNumberFormat="1" applyFont="1" applyBorder="1"/>
    <xf numFmtId="9" fontId="12" fillId="0" borderId="3" xfId="0" applyNumberFormat="1" applyFont="1" applyBorder="1"/>
    <xf numFmtId="9" fontId="12" fillId="0" borderId="0" xfId="0" applyNumberFormat="1" applyFont="1" applyBorder="1"/>
    <xf numFmtId="0" fontId="13" fillId="2" borderId="0" xfId="0" applyFont="1" applyFill="1" applyBorder="1"/>
    <xf numFmtId="0" fontId="13" fillId="0" borderId="0" xfId="0" applyFont="1" applyBorder="1"/>
    <xf numFmtId="0" fontId="12" fillId="2" borderId="4" xfId="0" applyFont="1" applyFill="1" applyBorder="1"/>
    <xf numFmtId="0" fontId="12" fillId="0" borderId="4" xfId="0" applyFont="1" applyBorder="1"/>
    <xf numFmtId="3" fontId="12" fillId="0" borderId="0" xfId="0" applyNumberFormat="1" applyFont="1" applyBorder="1"/>
    <xf numFmtId="3" fontId="12" fillId="0" borderId="4" xfId="0" applyNumberFormat="1" applyFont="1" applyBorder="1"/>
    <xf numFmtId="3" fontId="13" fillId="0" borderId="0" xfId="0" applyNumberFormat="1" applyFont="1" applyBorder="1"/>
    <xf numFmtId="0" fontId="1" fillId="0" borderId="1" xfId="0" applyFont="1" applyBorder="1"/>
    <xf numFmtId="0" fontId="2" fillId="0" borderId="0" xfId="0" applyFont="1" applyBorder="1"/>
    <xf numFmtId="0" fontId="11" fillId="0" borderId="0" xfId="0" applyFont="1"/>
    <xf numFmtId="0" fontId="1" fillId="0" borderId="5" xfId="0" applyFont="1" applyBorder="1"/>
    <xf numFmtId="0" fontId="2" fillId="0" borderId="2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8" xfId="0" applyFont="1" applyBorder="1"/>
    <xf numFmtId="0" fontId="1" fillId="0" borderId="9" xfId="0" applyFont="1" applyBorder="1"/>
    <xf numFmtId="0" fontId="2" fillId="0" borderId="3" xfId="0" applyFont="1" applyBorder="1"/>
    <xf numFmtId="0" fontId="2" fillId="0" borderId="10" xfId="0" applyFont="1" applyBorder="1"/>
    <xf numFmtId="0" fontId="14" fillId="2" borderId="0" xfId="1" applyFont="1" applyFill="1" applyAlignment="1">
      <alignment horizontal="center"/>
    </xf>
    <xf numFmtId="0" fontId="9" fillId="2" borderId="0" xfId="0" applyFont="1" applyFill="1" applyAlignment="1">
      <alignment horizontal="right"/>
    </xf>
    <xf numFmtId="3" fontId="12" fillId="2" borderId="0" xfId="0" applyNumberFormat="1" applyFont="1" applyFill="1"/>
    <xf numFmtId="0" fontId="1" fillId="0" borderId="0" xfId="0" quotePrefix="1" applyFont="1"/>
    <xf numFmtId="3" fontId="12" fillId="0" borderId="0" xfId="0" applyNumberFormat="1" applyFont="1"/>
    <xf numFmtId="1" fontId="1" fillId="0" borderId="0" xfId="0" applyNumberFormat="1" applyFont="1"/>
    <xf numFmtId="167" fontId="12" fillId="0" borderId="2" xfId="0" applyNumberFormat="1" applyFont="1" applyBorder="1"/>
    <xf numFmtId="167" fontId="12" fillId="0" borderId="0" xfId="0" applyNumberFormat="1" applyFont="1" applyBorder="1"/>
    <xf numFmtId="167" fontId="12" fillId="0" borderId="3" xfId="0" applyNumberFormat="1" applyFont="1" applyBorder="1"/>
    <xf numFmtId="3" fontId="12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/>
    <xf numFmtId="2" fontId="1" fillId="0" borderId="1" xfId="0" applyNumberFormat="1" applyFont="1" applyBorder="1"/>
    <xf numFmtId="14" fontId="2" fillId="0" borderId="0" xfId="0" applyNumberFormat="1" applyFont="1"/>
    <xf numFmtId="3" fontId="1" fillId="0" borderId="7" xfId="0" applyNumberFormat="1" applyFont="1" applyBorder="1"/>
    <xf numFmtId="9" fontId="1" fillId="0" borderId="8" xfId="2" applyFont="1" applyBorder="1"/>
    <xf numFmtId="3" fontId="1" fillId="0" borderId="8" xfId="0" applyNumberFormat="1" applyFont="1" applyBorder="1"/>
    <xf numFmtId="4" fontId="5" fillId="0" borderId="8" xfId="0" applyNumberFormat="1" applyFont="1" applyBorder="1"/>
    <xf numFmtId="3" fontId="1" fillId="0" borderId="9" xfId="0" applyNumberFormat="1" applyFont="1" applyBorder="1"/>
    <xf numFmtId="9" fontId="1" fillId="0" borderId="10" xfId="2" applyFont="1" applyBorder="1"/>
    <xf numFmtId="3" fontId="1" fillId="3" borderId="5" xfId="0" applyNumberFormat="1" applyFont="1" applyFill="1" applyBorder="1"/>
    <xf numFmtId="9" fontId="1" fillId="3" borderId="6" xfId="2" applyFont="1" applyFill="1" applyBorder="1"/>
    <xf numFmtId="3" fontId="1" fillId="3" borderId="7" xfId="0" applyNumberFormat="1" applyFont="1" applyFill="1" applyBorder="1"/>
    <xf numFmtId="9" fontId="1" fillId="3" borderId="8" xfId="2" applyFont="1" applyFill="1" applyBorder="1"/>
    <xf numFmtId="3" fontId="1" fillId="3" borderId="8" xfId="0" applyNumberFormat="1" applyFont="1" applyFill="1" applyBorder="1"/>
    <xf numFmtId="4" fontId="5" fillId="3" borderId="8" xfId="0" applyNumberFormat="1" applyFont="1" applyFill="1" applyBorder="1"/>
    <xf numFmtId="3" fontId="1" fillId="3" borderId="9" xfId="0" applyNumberFormat="1" applyFont="1" applyFill="1" applyBorder="1"/>
    <xf numFmtId="9" fontId="1" fillId="3" borderId="10" xfId="2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19</xdr:col>
      <xdr:colOff>0</xdr:colOff>
      <xdr:row>101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493</xdr:colOff>
      <xdr:row>101</xdr:row>
      <xdr:rowOff>156309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A3066EE5-CFD0-4D4D-8F0A-11C26C42B66F}"/>
            </a:ext>
          </a:extLst>
        </xdr:cNvPr>
        <xdr:cNvCxnSpPr/>
      </xdr:nvCxnSpPr>
      <xdr:spPr>
        <a:xfrm>
          <a:off x="11514083" y="268014"/>
          <a:ext cx="493" cy="15764171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35"/>
  <sheetViews>
    <sheetView topLeftCell="A11" zoomScale="190" zoomScaleNormal="190" workbookViewId="0">
      <selection activeCell="B36" sqref="B36"/>
    </sheetView>
  </sheetViews>
  <sheetFormatPr defaultRowHeight="13.2" x14ac:dyDescent="0.25"/>
  <cols>
    <col min="1" max="1" width="8.88671875" style="1"/>
    <col min="2" max="2" width="15.6640625" style="1" bestFit="1" customWidth="1"/>
    <col min="3" max="10" width="8.88671875" style="1"/>
    <col min="11" max="11" width="9.77734375" style="1" customWidth="1"/>
    <col min="12" max="12" width="11.33203125" style="1" customWidth="1"/>
    <col min="13" max="13" width="9.109375" style="1" customWidth="1"/>
    <col min="14" max="16384" width="8.88671875" style="1"/>
  </cols>
  <sheetData>
    <row r="1" spans="2:13" ht="21" customHeight="1" x14ac:dyDescent="0.25">
      <c r="B1" s="5" t="s">
        <v>17</v>
      </c>
      <c r="K1" s="6" t="s">
        <v>71</v>
      </c>
      <c r="L1" s="6"/>
    </row>
    <row r="2" spans="2:13" ht="22.8" customHeight="1" x14ac:dyDescent="0.25">
      <c r="B2" s="6" t="s">
        <v>22</v>
      </c>
      <c r="C2" s="6"/>
      <c r="D2" s="6"/>
      <c r="E2" s="6"/>
      <c r="F2" s="6"/>
      <c r="G2" s="6"/>
      <c r="H2" s="6"/>
      <c r="I2" s="6"/>
      <c r="K2" s="2" t="s">
        <v>0</v>
      </c>
      <c r="L2" s="3">
        <v>126.01</v>
      </c>
    </row>
    <row r="3" spans="2:13" x14ac:dyDescent="0.25">
      <c r="K3" s="2" t="s">
        <v>1</v>
      </c>
      <c r="L3" s="4">
        <v>219.89465200000001</v>
      </c>
    </row>
    <row r="4" spans="2:13" x14ac:dyDescent="0.25">
      <c r="B4" s="37" t="s">
        <v>93</v>
      </c>
      <c r="C4" s="38"/>
      <c r="D4" s="38"/>
      <c r="E4" s="38"/>
      <c r="F4" s="38"/>
      <c r="G4" s="38"/>
      <c r="H4" s="38"/>
      <c r="I4" s="39"/>
      <c r="K4" s="2" t="s">
        <v>2</v>
      </c>
      <c r="L4" s="4">
        <f>L3*L2</f>
        <v>27708.925098520001</v>
      </c>
    </row>
    <row r="5" spans="2:13" x14ac:dyDescent="0.25">
      <c r="B5" s="40" t="s">
        <v>94</v>
      </c>
      <c r="C5" s="35"/>
      <c r="D5" s="35"/>
      <c r="E5" s="35"/>
      <c r="F5" s="35"/>
      <c r="G5" s="35"/>
      <c r="H5" s="35"/>
      <c r="I5" s="41"/>
      <c r="K5" s="2" t="s">
        <v>3</v>
      </c>
      <c r="L5" s="4">
        <v>720.7</v>
      </c>
    </row>
    <row r="6" spans="2:13" x14ac:dyDescent="0.25">
      <c r="B6" s="42" t="s">
        <v>95</v>
      </c>
      <c r="C6" s="43"/>
      <c r="D6" s="43"/>
      <c r="E6" s="43"/>
      <c r="F6" s="43"/>
      <c r="G6" s="43"/>
      <c r="H6" s="43"/>
      <c r="I6" s="44"/>
      <c r="K6" s="2" t="s">
        <v>4</v>
      </c>
      <c r="L6" s="4">
        <f>6222.387+9723.314+1406.97+769.139</f>
        <v>18121.810000000001</v>
      </c>
    </row>
    <row r="7" spans="2:13" x14ac:dyDescent="0.25">
      <c r="K7" s="2" t="s">
        <v>5</v>
      </c>
      <c r="L7" s="4">
        <f>L4-L5+L6</f>
        <v>45110.035098520006</v>
      </c>
    </row>
    <row r="8" spans="2:13" x14ac:dyDescent="0.25">
      <c r="B8" s="37" t="s">
        <v>96</v>
      </c>
      <c r="C8" s="38"/>
      <c r="D8" s="38"/>
      <c r="E8" s="38"/>
      <c r="F8" s="38"/>
      <c r="G8" s="38"/>
      <c r="H8" s="38"/>
      <c r="I8" s="39"/>
      <c r="K8" s="2" t="s">
        <v>6</v>
      </c>
      <c r="L8" s="4">
        <f>L5-L6</f>
        <v>-17401.11</v>
      </c>
    </row>
    <row r="9" spans="2:13" x14ac:dyDescent="0.25">
      <c r="B9" s="40" t="s">
        <v>97</v>
      </c>
      <c r="C9" s="35"/>
      <c r="D9" s="35"/>
      <c r="E9" s="35"/>
      <c r="F9" s="35"/>
      <c r="G9" s="35"/>
      <c r="H9" s="35"/>
      <c r="I9" s="41"/>
      <c r="K9" s="2"/>
      <c r="L9" s="2"/>
    </row>
    <row r="10" spans="2:13" x14ac:dyDescent="0.25">
      <c r="B10" s="40" t="s">
        <v>98</v>
      </c>
      <c r="C10" s="35"/>
      <c r="D10" s="35"/>
      <c r="E10" s="35"/>
      <c r="F10" s="35"/>
      <c r="G10" s="35"/>
      <c r="H10" s="35"/>
      <c r="I10" s="41"/>
      <c r="K10" s="2" t="s">
        <v>7</v>
      </c>
      <c r="L10" s="34" t="s">
        <v>72</v>
      </c>
    </row>
    <row r="11" spans="2:13" x14ac:dyDescent="0.25">
      <c r="B11" s="40" t="s">
        <v>99</v>
      </c>
      <c r="C11" s="35"/>
      <c r="D11" s="35"/>
      <c r="E11" s="35"/>
      <c r="F11" s="35"/>
      <c r="G11" s="35"/>
      <c r="H11" s="35"/>
      <c r="I11" s="41"/>
    </row>
    <row r="12" spans="2:13" x14ac:dyDescent="0.25">
      <c r="B12" s="40" t="s">
        <v>100</v>
      </c>
      <c r="C12" s="35"/>
      <c r="D12" s="35"/>
      <c r="E12" s="35"/>
      <c r="F12" s="35"/>
      <c r="G12" s="35"/>
      <c r="H12" s="35"/>
      <c r="I12" s="41"/>
      <c r="K12" s="55" t="s">
        <v>18</v>
      </c>
      <c r="L12" s="56"/>
    </row>
    <row r="13" spans="2:13" x14ac:dyDescent="0.25">
      <c r="B13" s="42" t="s">
        <v>101</v>
      </c>
      <c r="C13" s="43"/>
      <c r="D13" s="43"/>
      <c r="E13" s="43"/>
      <c r="F13" s="43"/>
      <c r="G13" s="43"/>
      <c r="H13" s="43"/>
      <c r="I13" s="44"/>
      <c r="K13" s="34" t="s">
        <v>44</v>
      </c>
      <c r="L13" s="57">
        <v>4.87E-2</v>
      </c>
    </row>
    <row r="14" spans="2:13" x14ac:dyDescent="0.25">
      <c r="K14" s="34" t="s">
        <v>45</v>
      </c>
      <c r="L14" s="57">
        <v>0.2157</v>
      </c>
    </row>
    <row r="15" spans="2:13" x14ac:dyDescent="0.25">
      <c r="K15" s="34" t="s">
        <v>46</v>
      </c>
      <c r="L15" s="57">
        <v>6.8000000000000005E-2</v>
      </c>
    </row>
    <row r="16" spans="2:13" ht="13.8" x14ac:dyDescent="0.25">
      <c r="B16" s="36" t="s">
        <v>73</v>
      </c>
      <c r="F16" s="48" t="s">
        <v>130</v>
      </c>
      <c r="K16" s="34" t="s">
        <v>146</v>
      </c>
      <c r="L16" s="57">
        <v>4.3400000000000001E-2</v>
      </c>
      <c r="M16" s="59">
        <v>45450</v>
      </c>
    </row>
    <row r="17" spans="2:12" x14ac:dyDescent="0.25">
      <c r="B17" s="34" t="s">
        <v>74</v>
      </c>
      <c r="C17" s="34" t="s">
        <v>75</v>
      </c>
      <c r="D17" s="34" t="s">
        <v>76</v>
      </c>
      <c r="F17" s="23" t="s">
        <v>131</v>
      </c>
      <c r="K17" s="34" t="s">
        <v>147</v>
      </c>
      <c r="L17" s="58">
        <f>L4/Model!S26</f>
        <v>40.066348598736759</v>
      </c>
    </row>
    <row r="18" spans="2:12" x14ac:dyDescent="0.25">
      <c r="B18" s="34" t="s">
        <v>72</v>
      </c>
      <c r="C18" s="2">
        <v>62</v>
      </c>
      <c r="D18" s="34" t="s">
        <v>7</v>
      </c>
      <c r="F18" s="23" t="s">
        <v>132</v>
      </c>
    </row>
    <row r="19" spans="2:12" x14ac:dyDescent="0.25">
      <c r="B19" s="34" t="s">
        <v>77</v>
      </c>
      <c r="C19" s="2">
        <v>55</v>
      </c>
      <c r="D19" s="34" t="s">
        <v>85</v>
      </c>
      <c r="F19" s="23" t="s">
        <v>133</v>
      </c>
    </row>
    <row r="20" spans="2:12" x14ac:dyDescent="0.25">
      <c r="B20" s="34" t="s">
        <v>78</v>
      </c>
      <c r="C20" s="2">
        <v>55</v>
      </c>
      <c r="D20" s="34" t="s">
        <v>92</v>
      </c>
      <c r="F20" s="23" t="s">
        <v>134</v>
      </c>
    </row>
    <row r="21" spans="2:12" x14ac:dyDescent="0.25">
      <c r="B21" s="34" t="s">
        <v>79</v>
      </c>
      <c r="C21" s="2">
        <v>52</v>
      </c>
      <c r="D21" s="34" t="s">
        <v>86</v>
      </c>
      <c r="F21" s="23" t="s">
        <v>135</v>
      </c>
    </row>
    <row r="22" spans="2:12" x14ac:dyDescent="0.25">
      <c r="B22" s="34" t="s">
        <v>80</v>
      </c>
      <c r="C22" s="2">
        <v>48</v>
      </c>
      <c r="D22" s="34" t="s">
        <v>87</v>
      </c>
    </row>
    <row r="23" spans="2:12" x14ac:dyDescent="0.25">
      <c r="B23" s="34" t="s">
        <v>81</v>
      </c>
      <c r="C23" s="2">
        <v>56</v>
      </c>
      <c r="D23" s="34" t="s">
        <v>88</v>
      </c>
      <c r="F23" s="23" t="s">
        <v>136</v>
      </c>
    </row>
    <row r="24" spans="2:12" x14ac:dyDescent="0.25">
      <c r="B24" s="34" t="s">
        <v>82</v>
      </c>
      <c r="C24" s="2">
        <v>56</v>
      </c>
      <c r="D24" s="34" t="s">
        <v>89</v>
      </c>
      <c r="F24" s="23" t="s">
        <v>137</v>
      </c>
    </row>
    <row r="25" spans="2:12" x14ac:dyDescent="0.25">
      <c r="B25" s="34" t="s">
        <v>83</v>
      </c>
      <c r="C25" s="2">
        <v>52</v>
      </c>
      <c r="D25" s="34" t="s">
        <v>90</v>
      </c>
    </row>
    <row r="26" spans="2:12" x14ac:dyDescent="0.25">
      <c r="B26" s="34" t="s">
        <v>84</v>
      </c>
      <c r="C26" s="2">
        <v>59</v>
      </c>
      <c r="D26" s="34" t="s">
        <v>91</v>
      </c>
      <c r="F26" s="23" t="s">
        <v>138</v>
      </c>
    </row>
    <row r="27" spans="2:12" x14ac:dyDescent="0.25">
      <c r="F27" s="23" t="s">
        <v>139</v>
      </c>
    </row>
    <row r="29" spans="2:12" x14ac:dyDescent="0.25">
      <c r="B29" s="66" t="s">
        <v>148</v>
      </c>
      <c r="C29" s="67">
        <v>-0.01</v>
      </c>
    </row>
    <row r="30" spans="2:12" x14ac:dyDescent="0.25">
      <c r="B30" s="68" t="s">
        <v>149</v>
      </c>
      <c r="C30" s="69">
        <v>4.3400000000000001E-2</v>
      </c>
    </row>
    <row r="31" spans="2:12" x14ac:dyDescent="0.25">
      <c r="B31" s="68" t="s">
        <v>150</v>
      </c>
      <c r="C31" s="70">
        <f>NPV(C30,Model!T12:GE12)</f>
        <v>54741.776191338853</v>
      </c>
    </row>
    <row r="32" spans="2:12" x14ac:dyDescent="0.25">
      <c r="B32" s="68" t="s">
        <v>3</v>
      </c>
      <c r="C32" s="70">
        <v>-17553</v>
      </c>
    </row>
    <row r="33" spans="2:3" x14ac:dyDescent="0.25">
      <c r="B33" s="68" t="s">
        <v>151</v>
      </c>
      <c r="C33" s="70">
        <f>C31+C32</f>
        <v>37188.776191338853</v>
      </c>
    </row>
    <row r="34" spans="2:3" x14ac:dyDescent="0.25">
      <c r="B34" s="68" t="s">
        <v>152</v>
      </c>
      <c r="C34" s="71">
        <f>C33/L3</f>
        <v>169.12087607905468</v>
      </c>
    </row>
    <row r="35" spans="2:3" x14ac:dyDescent="0.25">
      <c r="B35" s="72" t="s">
        <v>153</v>
      </c>
      <c r="C35" s="73">
        <f>C34/L2-1</f>
        <v>0.34212265755935789</v>
      </c>
    </row>
  </sheetData>
  <mergeCells count="3">
    <mergeCell ref="K1:L1"/>
    <mergeCell ref="B2:I2"/>
    <mergeCell ref="K12:L12"/>
  </mergeCells>
  <hyperlinks>
    <hyperlink ref="B1" location="Model!A1" display="Model" xr:uid="{191EB341-8C2F-4D17-8524-64F231C50EB1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GE100"/>
  <sheetViews>
    <sheetView tabSelected="1" zoomScale="190" zoomScaleNormal="190" workbookViewId="0">
      <pane xSplit="1" ySplit="2" topLeftCell="B10" activePane="bottomRight" state="frozen"/>
      <selection pane="topRight" activeCell="C1" sqref="C1"/>
      <selection pane="bottomLeft" activeCell="A3" sqref="A3"/>
      <selection pane="bottomRight" activeCell="AF36" sqref="AF36"/>
    </sheetView>
  </sheetViews>
  <sheetFormatPr defaultRowHeight="13.2" outlineLevelRow="1" x14ac:dyDescent="0.25"/>
  <cols>
    <col min="1" max="1" width="34.5546875" style="7" customWidth="1"/>
    <col min="2" max="3" width="9.109375" style="23" bestFit="1" customWidth="1"/>
    <col min="4" max="4" width="10.109375" style="23" bestFit="1" customWidth="1"/>
    <col min="5" max="7" width="9" style="23" bestFit="1" customWidth="1"/>
    <col min="8" max="8" width="9.109375" style="23" bestFit="1" customWidth="1"/>
    <col min="9" max="9" width="9" style="23" bestFit="1" customWidth="1"/>
    <col min="10" max="10" width="9.33203125" style="23" bestFit="1" customWidth="1"/>
    <col min="11" max="16384" width="8.88671875" style="23"/>
  </cols>
  <sheetData>
    <row r="1" spans="1:187" s="7" customFormat="1" ht="17.399999999999999" x14ac:dyDescent="0.3">
      <c r="A1" s="45" t="s">
        <v>16</v>
      </c>
      <c r="B1" s="8">
        <v>44680</v>
      </c>
      <c r="C1" s="8">
        <v>44771</v>
      </c>
      <c r="D1" s="8">
        <v>44862</v>
      </c>
      <c r="E1" s="8">
        <v>44960</v>
      </c>
      <c r="F1" s="8">
        <v>45051</v>
      </c>
      <c r="G1" s="8">
        <v>45142</v>
      </c>
      <c r="H1" s="8">
        <v>45233</v>
      </c>
      <c r="I1" s="8">
        <v>45324</v>
      </c>
      <c r="J1" s="8">
        <v>45415</v>
      </c>
    </row>
    <row r="2" spans="1:187" s="46" customFormat="1" ht="11.4" x14ac:dyDescent="0.2">
      <c r="B2" s="46" t="s">
        <v>14</v>
      </c>
      <c r="C2" s="46" t="s">
        <v>15</v>
      </c>
      <c r="D2" s="46" t="s">
        <v>10</v>
      </c>
      <c r="E2" s="46" t="s">
        <v>11</v>
      </c>
      <c r="F2" s="46" t="s">
        <v>12</v>
      </c>
      <c r="G2" s="46" t="s">
        <v>13</v>
      </c>
      <c r="H2" s="46" t="s">
        <v>8</v>
      </c>
      <c r="I2" s="46" t="s">
        <v>9</v>
      </c>
      <c r="J2" s="46" t="s">
        <v>18</v>
      </c>
      <c r="K2" s="46" t="s">
        <v>19</v>
      </c>
      <c r="L2" s="46" t="s">
        <v>20</v>
      </c>
      <c r="M2" s="46" t="s">
        <v>21</v>
      </c>
      <c r="O2" s="46">
        <v>2019</v>
      </c>
      <c r="P2" s="46">
        <v>2020</v>
      </c>
      <c r="Q2" s="46">
        <v>2021</v>
      </c>
      <c r="R2" s="46">
        <v>2022</v>
      </c>
      <c r="S2" s="46">
        <v>2023</v>
      </c>
      <c r="T2" s="46">
        <v>2024</v>
      </c>
      <c r="U2" s="46">
        <v>2025</v>
      </c>
      <c r="V2" s="46">
        <v>2026</v>
      </c>
      <c r="W2" s="46">
        <v>2027</v>
      </c>
      <c r="X2" s="46">
        <v>2028</v>
      </c>
      <c r="Y2" s="46">
        <v>2029</v>
      </c>
      <c r="Z2" s="46">
        <v>2030</v>
      </c>
      <c r="AA2" s="46">
        <v>2031</v>
      </c>
      <c r="AB2" s="46">
        <v>2032</v>
      </c>
      <c r="AC2" s="46">
        <v>2033</v>
      </c>
      <c r="AD2" s="46">
        <v>2034</v>
      </c>
      <c r="AE2" s="46">
        <v>2035</v>
      </c>
      <c r="AF2" s="46">
        <v>2036</v>
      </c>
      <c r="AG2" s="46">
        <v>2037</v>
      </c>
      <c r="AH2" s="46">
        <v>2038</v>
      </c>
      <c r="AI2" s="46">
        <v>2039</v>
      </c>
      <c r="AJ2" s="46">
        <v>2040</v>
      </c>
      <c r="AK2" s="46">
        <v>2041</v>
      </c>
      <c r="AL2" s="46">
        <v>2042</v>
      </c>
    </row>
    <row r="3" spans="1:187" s="18" customFormat="1" x14ac:dyDescent="0.25">
      <c r="A3" s="17" t="s">
        <v>23</v>
      </c>
      <c r="B3" s="18">
        <v>8751.3520000000008</v>
      </c>
      <c r="C3" s="18">
        <v>9425.7129999999997</v>
      </c>
      <c r="D3" s="18">
        <v>9464.8909999999996</v>
      </c>
      <c r="E3" s="18">
        <v>10202.906999999999</v>
      </c>
      <c r="F3" s="18">
        <v>9342.8320000000003</v>
      </c>
      <c r="G3" s="18">
        <v>9796.1810000000005</v>
      </c>
      <c r="H3" s="18">
        <v>9694.0820000000003</v>
      </c>
      <c r="I3" s="18">
        <v>9858.5139999999992</v>
      </c>
      <c r="J3" s="18">
        <v>9914.0210000000006</v>
      </c>
      <c r="K3" s="18">
        <f>G3*1.061</f>
        <v>10393.748041000001</v>
      </c>
      <c r="L3" s="18">
        <f>H3*1.066</f>
        <v>10333.891412000001</v>
      </c>
      <c r="M3" s="18">
        <f>I3*1.056</f>
        <v>10410.590784</v>
      </c>
      <c r="R3" s="18">
        <f>SUM(B3:E3)</f>
        <v>37844.862999999998</v>
      </c>
      <c r="S3" s="18">
        <f>SUM(F3:I3)</f>
        <v>38691.608999999997</v>
      </c>
      <c r="T3" s="18">
        <f>SUM(J3:M3)</f>
        <v>41052.251237000004</v>
      </c>
      <c r="U3" s="18">
        <f>T3*1.056</f>
        <v>43351.177306272009</v>
      </c>
      <c r="V3" s="18">
        <f>U3*1.051</f>
        <v>45562.087348891881</v>
      </c>
      <c r="W3" s="18">
        <f t="shared" ref="W3:Y3" si="0">V3*1.051</f>
        <v>47885.753803685366</v>
      </c>
      <c r="X3" s="18">
        <f t="shared" si="0"/>
        <v>50327.927247673317</v>
      </c>
      <c r="Y3" s="18">
        <f t="shared" si="0"/>
        <v>52894.65153730465</v>
      </c>
      <c r="Z3" s="18">
        <f>Y3*1.051</f>
        <v>55592.278765707182</v>
      </c>
      <c r="AA3" s="18">
        <f t="shared" ref="AA3:AC3" si="1">Z3*1.051</f>
        <v>58427.484982758244</v>
      </c>
      <c r="AB3" s="18">
        <f t="shared" si="1"/>
        <v>61407.286716878909</v>
      </c>
      <c r="AC3" s="18">
        <f t="shared" si="1"/>
        <v>64539.058339439733</v>
      </c>
      <c r="AD3" s="18">
        <f>AC3*1.025</f>
        <v>66152.53479792572</v>
      </c>
    </row>
    <row r="4" spans="1:187" s="20" customFormat="1" x14ac:dyDescent="0.25">
      <c r="A4" s="19" t="s">
        <v>24</v>
      </c>
      <c r="B4" s="20">
        <v>6012.9889999999996</v>
      </c>
      <c r="C4" s="20">
        <v>6377.49</v>
      </c>
      <c r="D4" s="20">
        <v>6579.6959999999999</v>
      </c>
      <c r="E4" s="20">
        <v>7054.59</v>
      </c>
      <c r="F4" s="20">
        <v>6387.3580000000002</v>
      </c>
      <c r="G4" s="20">
        <v>6751.4949999999999</v>
      </c>
      <c r="H4" s="20">
        <v>6881.5540000000001</v>
      </c>
      <c r="I4" s="20">
        <v>6952.1779999999999</v>
      </c>
      <c r="J4" s="20">
        <v>6921.8720000000003</v>
      </c>
      <c r="K4" s="20">
        <f>K3*0.6929</f>
        <v>7201.8280176089002</v>
      </c>
      <c r="L4" s="20">
        <f t="shared" ref="L4:M4" si="2">L3*0.6929</f>
        <v>7160.3533593747998</v>
      </c>
      <c r="M4" s="20">
        <f t="shared" si="2"/>
        <v>7213.4983542335995</v>
      </c>
      <c r="R4" s="20">
        <f>SUM(B4:E4)</f>
        <v>26024.764999999999</v>
      </c>
      <c r="S4" s="20">
        <f>SUM(F4:I4)</f>
        <v>26972.584999999999</v>
      </c>
      <c r="T4" s="20">
        <f>SUM(J4:M4)</f>
        <v>28497.551731217296</v>
      </c>
      <c r="U4" s="20">
        <f t="shared" ref="U4" si="3">U3*0.6929</f>
        <v>30038.030755515872</v>
      </c>
      <c r="V4" s="20">
        <f t="shared" ref="V4" si="4">V3*0.6929</f>
        <v>31569.970324047183</v>
      </c>
      <c r="W4" s="20">
        <f t="shared" ref="W4" si="5">W3*0.6929</f>
        <v>33180.038810573591</v>
      </c>
      <c r="X4" s="20">
        <f t="shared" ref="X4" si="6">X3*0.6929</f>
        <v>34872.220789912841</v>
      </c>
      <c r="Y4" s="20">
        <f t="shared" ref="Y4" si="7">Y3*0.6929</f>
        <v>36650.704050198387</v>
      </c>
      <c r="Z4" s="20">
        <f t="shared" ref="Z4" si="8">Z3*0.6929</f>
        <v>38519.889956758503</v>
      </c>
      <c r="AA4" s="20">
        <f t="shared" ref="AA4" si="9">AA3*0.6929</f>
        <v>40484.404344553186</v>
      </c>
      <c r="AB4" s="20">
        <f t="shared" ref="AB4" si="10">AB3*0.6929</f>
        <v>42549.108966125394</v>
      </c>
      <c r="AC4" s="20">
        <f t="shared" ref="AC4" si="11">AC3*0.6929</f>
        <v>44719.113523397791</v>
      </c>
      <c r="AD4" s="20">
        <f t="shared" ref="AD4" si="12">AD3*0.6929</f>
        <v>45837.09136148273</v>
      </c>
    </row>
    <row r="5" spans="1:187" s="18" customFormat="1" x14ac:dyDescent="0.25">
      <c r="A5" s="17" t="s">
        <v>25</v>
      </c>
      <c r="B5" s="18">
        <f>B3-B4</f>
        <v>2738.3630000000012</v>
      </c>
      <c r="C5" s="18">
        <f>C3-C4</f>
        <v>3048.223</v>
      </c>
      <c r="D5" s="18">
        <f>D3-D4</f>
        <v>2885.1949999999997</v>
      </c>
      <c r="E5" s="18">
        <f>E3-E4</f>
        <v>3148.3169999999991</v>
      </c>
      <c r="F5" s="18">
        <f>F3-F4</f>
        <v>2955.4740000000002</v>
      </c>
      <c r="G5" s="18">
        <f>G3-G4</f>
        <v>3044.6860000000006</v>
      </c>
      <c r="H5" s="18">
        <f>H3-H4</f>
        <v>2812.5280000000002</v>
      </c>
      <c r="I5" s="18">
        <f>I3-I4</f>
        <v>2906.3359999999993</v>
      </c>
      <c r="J5" s="18">
        <f>J3-J4</f>
        <v>2992.1490000000003</v>
      </c>
      <c r="K5" s="18">
        <f>K3-K4</f>
        <v>3191.9200233911006</v>
      </c>
      <c r="L5" s="18">
        <f t="shared" ref="L5:M5" si="13">L3-L4</f>
        <v>3173.5380526252011</v>
      </c>
      <c r="M5" s="18">
        <f t="shared" si="13"/>
        <v>3197.0924297664005</v>
      </c>
      <c r="R5" s="18">
        <f>SUM(B5:E5)</f>
        <v>11820.098</v>
      </c>
      <c r="S5" s="18">
        <f>SUM(F5:I5)</f>
        <v>11719.024000000001</v>
      </c>
      <c r="T5" s="18">
        <f>SUM(J5:M5)</f>
        <v>12554.699505782703</v>
      </c>
      <c r="U5" s="18">
        <f t="shared" ref="U5" si="14">U3-U4</f>
        <v>13313.146550756137</v>
      </c>
      <c r="V5" s="18">
        <f t="shared" ref="V5" si="15">V3-V4</f>
        <v>13992.117024844698</v>
      </c>
      <c r="W5" s="18">
        <f t="shared" ref="W5" si="16">W3-W4</f>
        <v>14705.714993111775</v>
      </c>
      <c r="X5" s="18">
        <f t="shared" ref="X5" si="17">X3-X4</f>
        <v>15455.706457760476</v>
      </c>
      <c r="Y5" s="18">
        <f t="shared" ref="Y5" si="18">Y3-Y4</f>
        <v>16243.947487106263</v>
      </c>
      <c r="Z5" s="18">
        <f t="shared" ref="Z5" si="19">Z3-Z4</f>
        <v>17072.388808948679</v>
      </c>
      <c r="AA5" s="18">
        <f t="shared" ref="AA5" si="20">AA3-AA4</f>
        <v>17943.080638205058</v>
      </c>
      <c r="AB5" s="18">
        <f t="shared" ref="AB5" si="21">AB3-AB4</f>
        <v>18858.177750753515</v>
      </c>
      <c r="AC5" s="18">
        <f t="shared" ref="AC5" si="22">AC3-AC4</f>
        <v>19819.944816041942</v>
      </c>
      <c r="AD5" s="18">
        <f t="shared" ref="AD5" si="23">AD3-AD4</f>
        <v>20315.443436442991</v>
      </c>
    </row>
    <row r="6" spans="1:187" s="20" customFormat="1" x14ac:dyDescent="0.25">
      <c r="A6" s="19" t="s">
        <v>26</v>
      </c>
      <c r="B6" s="20">
        <v>1992.2059999999999</v>
      </c>
      <c r="C6" s="20">
        <v>2134.797</v>
      </c>
      <c r="D6" s="20">
        <v>2149.65</v>
      </c>
      <c r="E6" s="20">
        <v>2215.143</v>
      </c>
      <c r="F6" s="20">
        <v>2214.616</v>
      </c>
      <c r="G6" s="20">
        <v>2352.3719999999998</v>
      </c>
      <c r="H6" s="20">
        <v>2379.0540000000001</v>
      </c>
      <c r="I6" s="20">
        <v>2326.6819999999998</v>
      </c>
      <c r="J6" s="20">
        <v>2446.0450000000001</v>
      </c>
      <c r="K6" s="20">
        <f>K3*0.2411</f>
        <v>2505.9326526851005</v>
      </c>
      <c r="L6" s="20">
        <f t="shared" ref="L6:M6" si="24">L3*0.2411</f>
        <v>2491.5012194332003</v>
      </c>
      <c r="M6" s="20">
        <f t="shared" si="24"/>
        <v>2509.9934380223999</v>
      </c>
      <c r="R6" s="20">
        <f>SUM(B6:E6)</f>
        <v>8491.7960000000003</v>
      </c>
      <c r="S6" s="20">
        <f>SUM(F6:I6)</f>
        <v>9272.7239999999983</v>
      </c>
      <c r="T6" s="20">
        <f>SUM(J6:M6)</f>
        <v>9953.4723101406998</v>
      </c>
      <c r="U6" s="20">
        <f t="shared" ref="U6:AD6" si="25">U3*0.2411</f>
        <v>10451.968848542181</v>
      </c>
      <c r="V6" s="20">
        <f t="shared" si="25"/>
        <v>10985.019259817833</v>
      </c>
      <c r="W6" s="20">
        <f t="shared" si="25"/>
        <v>11545.255242068542</v>
      </c>
      <c r="X6" s="20">
        <f t="shared" si="25"/>
        <v>12134.063259414037</v>
      </c>
      <c r="Y6" s="20">
        <f t="shared" si="25"/>
        <v>12752.900485644152</v>
      </c>
      <c r="Z6" s="20">
        <f t="shared" si="25"/>
        <v>13403.298410412002</v>
      </c>
      <c r="AA6" s="20">
        <f t="shared" si="25"/>
        <v>14086.866629343012</v>
      </c>
      <c r="AB6" s="20">
        <f t="shared" si="25"/>
        <v>14805.296827439506</v>
      </c>
      <c r="AC6" s="20">
        <f t="shared" si="25"/>
        <v>15560.366965638919</v>
      </c>
      <c r="AD6" s="20">
        <f t="shared" si="25"/>
        <v>15949.376139779892</v>
      </c>
    </row>
    <row r="7" spans="1:187" s="18" customFormat="1" x14ac:dyDescent="0.25">
      <c r="A7" s="17" t="s">
        <v>27</v>
      </c>
      <c r="B7" s="18">
        <f>B5-B6</f>
        <v>746.15700000000129</v>
      </c>
      <c r="C7" s="18">
        <f>C5-C6</f>
        <v>913.42599999999993</v>
      </c>
      <c r="D7" s="18">
        <f>D5-D6</f>
        <v>735.54499999999962</v>
      </c>
      <c r="E7" s="18">
        <f>E5-E6</f>
        <v>933.17399999999907</v>
      </c>
      <c r="F7" s="18">
        <f>F5-F6</f>
        <v>740.85800000000017</v>
      </c>
      <c r="G7" s="18">
        <f>G5-G6</f>
        <v>692.31400000000076</v>
      </c>
      <c r="H7" s="18">
        <f>H5-H6</f>
        <v>433.47400000000016</v>
      </c>
      <c r="I7" s="18">
        <f>I5-I6</f>
        <v>579.65399999999954</v>
      </c>
      <c r="J7" s="18">
        <f>J5-J6</f>
        <v>546.10400000000027</v>
      </c>
      <c r="K7" s="18">
        <f>K5-K6</f>
        <v>685.98737070600009</v>
      </c>
      <c r="L7" s="18">
        <f t="shared" ref="L7:M7" si="26">L5-L6</f>
        <v>682.03683319200081</v>
      </c>
      <c r="M7" s="18">
        <f t="shared" si="26"/>
        <v>687.09899174400061</v>
      </c>
      <c r="R7" s="18">
        <f>SUM(B7:E7)</f>
        <v>3328.3019999999997</v>
      </c>
      <c r="S7" s="18">
        <f>SUM(F7:I7)</f>
        <v>2446.3000000000006</v>
      </c>
      <c r="T7" s="18">
        <f>SUM(J7:M7)</f>
        <v>2601.2271956420018</v>
      </c>
      <c r="U7" s="18">
        <f t="shared" ref="U7" si="27">U5-U6</f>
        <v>2861.1777022139559</v>
      </c>
      <c r="V7" s="18">
        <f t="shared" ref="V7" si="28">V5-V6</f>
        <v>3007.0977650268651</v>
      </c>
      <c r="W7" s="18">
        <f t="shared" ref="W7" si="29">W5-W6</f>
        <v>3160.4597510432322</v>
      </c>
      <c r="X7" s="18">
        <f t="shared" ref="X7" si="30">X5-X6</f>
        <v>3321.643198346439</v>
      </c>
      <c r="Y7" s="18">
        <f t="shared" ref="Y7" si="31">Y5-Y6</f>
        <v>3491.0470014621114</v>
      </c>
      <c r="Z7" s="18">
        <f t="shared" ref="Z7" si="32">Z5-Z6</f>
        <v>3669.0903985366767</v>
      </c>
      <c r="AA7" s="18">
        <f t="shared" ref="AA7" si="33">AA5-AA6</f>
        <v>3856.2140088620454</v>
      </c>
      <c r="AB7" s="18">
        <f t="shared" ref="AB7" si="34">AB5-AB6</f>
        <v>4052.8809233140091</v>
      </c>
      <c r="AC7" s="18">
        <f t="shared" ref="AC7" si="35">AC5-AC6</f>
        <v>4259.5778504030222</v>
      </c>
      <c r="AD7" s="18">
        <f t="shared" ref="AD7" si="36">AD5-AD6</f>
        <v>4366.0672966630991</v>
      </c>
    </row>
    <row r="8" spans="1:187" s="20" customFormat="1" x14ac:dyDescent="0.25">
      <c r="A8" s="19" t="s">
        <v>28</v>
      </c>
      <c r="B8" s="20">
        <v>39.676000000000002</v>
      </c>
      <c r="C8" s="20">
        <v>43.097999999999999</v>
      </c>
      <c r="D8" s="20">
        <v>53.680999999999997</v>
      </c>
      <c r="E8" s="20">
        <v>74.817999999999998</v>
      </c>
      <c r="F8" s="20">
        <v>83.037999999999997</v>
      </c>
      <c r="G8" s="20">
        <v>84.337000000000003</v>
      </c>
      <c r="H8" s="20">
        <v>82.289000000000001</v>
      </c>
      <c r="I8" s="20">
        <v>77.117000000000004</v>
      </c>
      <c r="J8" s="20">
        <v>72.433000000000007</v>
      </c>
      <c r="K8" s="20">
        <f>K3*0.0082</f>
        <v>85.228733936200015</v>
      </c>
      <c r="L8" s="20">
        <f t="shared" ref="L8:M8" si="37">L3*0.0082</f>
        <v>84.737909578400007</v>
      </c>
      <c r="M8" s="20">
        <f t="shared" si="37"/>
        <v>85.366844428800007</v>
      </c>
      <c r="R8" s="20">
        <f>SUM(B8:E8)</f>
        <v>211.27299999999997</v>
      </c>
      <c r="S8" s="20">
        <f>SUM(F8:I8)</f>
        <v>326.78100000000001</v>
      </c>
      <c r="T8" s="20">
        <f>SUM(J8:M8)</f>
        <v>327.76648794340002</v>
      </c>
      <c r="U8" s="20">
        <f t="shared" ref="U8:AD8" si="38">U3*0.0082</f>
        <v>355.47965391143049</v>
      </c>
      <c r="V8" s="20">
        <f t="shared" si="38"/>
        <v>373.60911626091342</v>
      </c>
      <c r="W8" s="20">
        <f t="shared" si="38"/>
        <v>392.66318119022003</v>
      </c>
      <c r="X8" s="20">
        <f t="shared" si="38"/>
        <v>412.68900343092122</v>
      </c>
      <c r="Y8" s="20">
        <f t="shared" si="38"/>
        <v>433.73614260589818</v>
      </c>
      <c r="Z8" s="20">
        <f t="shared" si="38"/>
        <v>455.85668587879894</v>
      </c>
      <c r="AA8" s="20">
        <f t="shared" si="38"/>
        <v>479.10537685861766</v>
      </c>
      <c r="AB8" s="20">
        <f t="shared" si="38"/>
        <v>503.53975107840711</v>
      </c>
      <c r="AC8" s="20">
        <f t="shared" si="38"/>
        <v>529.2202783834058</v>
      </c>
      <c r="AD8" s="20">
        <f t="shared" si="38"/>
        <v>542.45078534299091</v>
      </c>
    </row>
    <row r="9" spans="1:187" s="20" customFormat="1" hidden="1" outlineLevel="1" x14ac:dyDescent="0.25">
      <c r="A9" s="19" t="s">
        <v>35</v>
      </c>
      <c r="D9" s="20">
        <v>0.41499999999999998</v>
      </c>
    </row>
    <row r="10" spans="1:187" s="18" customFormat="1" collapsed="1" x14ac:dyDescent="0.25">
      <c r="A10" s="17" t="s">
        <v>29</v>
      </c>
      <c r="B10" s="18">
        <f>B7-B8-B9</f>
        <v>706.48100000000125</v>
      </c>
      <c r="C10" s="18">
        <f>C7-C8-C9</f>
        <v>870.32799999999997</v>
      </c>
      <c r="D10" s="18">
        <f>D7-D8-D9</f>
        <v>681.44899999999961</v>
      </c>
      <c r="E10" s="18">
        <f>E7-E8</f>
        <v>858.35599999999909</v>
      </c>
      <c r="F10" s="18">
        <f>F7-F8</f>
        <v>657.82000000000016</v>
      </c>
      <c r="G10" s="18">
        <f>G7-G8-G9</f>
        <v>607.97700000000077</v>
      </c>
      <c r="H10" s="18">
        <f>H7-H8-H9</f>
        <v>351.18500000000017</v>
      </c>
      <c r="I10" s="18">
        <f>I7-I8</f>
        <v>502.53699999999952</v>
      </c>
      <c r="J10" s="18">
        <f>J7-J8</f>
        <v>473.67100000000028</v>
      </c>
      <c r="K10" s="18">
        <f>K7-K8</f>
        <v>600.75863676980009</v>
      </c>
      <c r="L10" s="18">
        <f t="shared" ref="L10:M10" si="39">L7-L8</f>
        <v>597.29892361360078</v>
      </c>
      <c r="M10" s="18">
        <f t="shared" si="39"/>
        <v>601.73214731520056</v>
      </c>
      <c r="R10" s="18">
        <f>SUM(B10:E10)</f>
        <v>3116.6139999999996</v>
      </c>
      <c r="S10" s="18">
        <f>SUM(F10:I10)</f>
        <v>2119.5190000000007</v>
      </c>
      <c r="T10" s="18">
        <f>SUM(J10:M10)</f>
        <v>2273.4607076986017</v>
      </c>
      <c r="U10" s="18">
        <f t="shared" ref="U10:AD10" si="40">U7-U8</f>
        <v>2505.6980483025254</v>
      </c>
      <c r="V10" s="18">
        <f t="shared" si="40"/>
        <v>2633.4886487659514</v>
      </c>
      <c r="W10" s="18">
        <f t="shared" si="40"/>
        <v>2767.7965698530124</v>
      </c>
      <c r="X10" s="18">
        <f t="shared" si="40"/>
        <v>2908.9541949155177</v>
      </c>
      <c r="Y10" s="18">
        <f t="shared" si="40"/>
        <v>3057.3108588562131</v>
      </c>
      <c r="Z10" s="18">
        <f t="shared" si="40"/>
        <v>3213.2337126578777</v>
      </c>
      <c r="AA10" s="18">
        <f t="shared" si="40"/>
        <v>3377.1086320034278</v>
      </c>
      <c r="AB10" s="18">
        <f t="shared" si="40"/>
        <v>3549.3411722356022</v>
      </c>
      <c r="AC10" s="18">
        <f t="shared" si="40"/>
        <v>3730.3575720196163</v>
      </c>
      <c r="AD10" s="18">
        <f t="shared" si="40"/>
        <v>3823.6165113201082</v>
      </c>
    </row>
    <row r="11" spans="1:187" s="20" customFormat="1" x14ac:dyDescent="0.25">
      <c r="A11" s="19" t="s">
        <v>30</v>
      </c>
      <c r="B11" s="20">
        <v>153.82400000000001</v>
      </c>
      <c r="C11" s="20">
        <v>192.298</v>
      </c>
      <c r="D11" s="20">
        <v>155.28200000000001</v>
      </c>
      <c r="E11" s="20">
        <v>199.221</v>
      </c>
      <c r="F11" s="20">
        <v>143.44</v>
      </c>
      <c r="G11" s="20">
        <v>139.142</v>
      </c>
      <c r="H11" s="20">
        <v>74.938999999999993</v>
      </c>
      <c r="I11" s="20">
        <v>100.724</v>
      </c>
      <c r="J11" s="20">
        <v>110.354</v>
      </c>
      <c r="K11" s="20">
        <f>K10*0.2214</f>
        <v>133.00796218083374</v>
      </c>
      <c r="L11" s="20">
        <f t="shared" ref="L11:M11" si="41">L10*0.2214</f>
        <v>132.24198168805123</v>
      </c>
      <c r="M11" s="20">
        <f t="shared" si="41"/>
        <v>133.2234974155854</v>
      </c>
      <c r="R11" s="20">
        <f>SUM(B11:E11)</f>
        <v>700.625</v>
      </c>
      <c r="S11" s="20">
        <f>SUM(F11:I11)</f>
        <v>458.24499999999995</v>
      </c>
      <c r="T11" s="20">
        <f>SUM(J11:M11)</f>
        <v>508.82744128447041</v>
      </c>
      <c r="U11" s="20">
        <f t="shared" ref="U11" si="42">U10*0.2214</f>
        <v>554.76154789417922</v>
      </c>
      <c r="V11" s="20">
        <f t="shared" ref="V11" si="43">V10*0.2214</f>
        <v>583.05438683678165</v>
      </c>
      <c r="W11" s="20">
        <f t="shared" ref="W11" si="44">W10*0.2214</f>
        <v>612.79016056545697</v>
      </c>
      <c r="X11" s="20">
        <f t="shared" ref="X11" si="45">X10*0.2214</f>
        <v>644.04245875429569</v>
      </c>
      <c r="Y11" s="20">
        <f t="shared" ref="Y11" si="46">Y10*0.2214</f>
        <v>676.88862415076562</v>
      </c>
      <c r="Z11" s="20">
        <f t="shared" ref="Z11" si="47">Z10*0.2214</f>
        <v>711.40994398245414</v>
      </c>
      <c r="AA11" s="20">
        <f t="shared" ref="AA11" si="48">AA10*0.2214</f>
        <v>747.69185112555897</v>
      </c>
      <c r="AB11" s="20">
        <f t="shared" ref="AB11" si="49">AB10*0.2214</f>
        <v>785.82413553296237</v>
      </c>
      <c r="AC11" s="20">
        <f t="shared" ref="AC11" si="50">AC10*0.2214</f>
        <v>825.90116644514308</v>
      </c>
      <c r="AD11" s="20">
        <f t="shared" ref="AD11" si="51">AD10*0.2214</f>
        <v>846.54869560627196</v>
      </c>
    </row>
    <row r="12" spans="1:187" s="18" customFormat="1" x14ac:dyDescent="0.25">
      <c r="A12" s="17" t="s">
        <v>31</v>
      </c>
      <c r="B12" s="18">
        <f>B10-B11</f>
        <v>552.65700000000129</v>
      </c>
      <c r="C12" s="18">
        <f>C10-C11</f>
        <v>678.03</v>
      </c>
      <c r="D12" s="18">
        <f>D10-D11</f>
        <v>526.16699999999958</v>
      </c>
      <c r="E12" s="18">
        <f>E10-E11</f>
        <v>659.13499999999908</v>
      </c>
      <c r="F12" s="18">
        <f>F10-F11</f>
        <v>514.38000000000011</v>
      </c>
      <c r="G12" s="18">
        <f>G10-G11</f>
        <v>468.83500000000078</v>
      </c>
      <c r="H12" s="18">
        <f>H10-H11</f>
        <v>276.24600000000021</v>
      </c>
      <c r="I12" s="18">
        <f>I10-I11</f>
        <v>401.81299999999953</v>
      </c>
      <c r="J12" s="18">
        <f>J10-J11</f>
        <v>363.31700000000029</v>
      </c>
      <c r="K12" s="18">
        <f>K10-K11</f>
        <v>467.75067458896638</v>
      </c>
      <c r="L12" s="18">
        <f t="shared" ref="L12:M12" si="52">L10-L11</f>
        <v>465.05694192554955</v>
      </c>
      <c r="M12" s="18">
        <f t="shared" si="52"/>
        <v>468.50864989961519</v>
      </c>
      <c r="R12" s="18">
        <f>SUM(B12:E12)</f>
        <v>2415.9889999999996</v>
      </c>
      <c r="S12" s="18">
        <f>SUM(F12:I12)</f>
        <v>1661.2740000000008</v>
      </c>
      <c r="T12" s="18">
        <f>SUM(J12:M12)</f>
        <v>1764.6332664141314</v>
      </c>
      <c r="U12" s="18">
        <f t="shared" ref="U12" si="53">U10-U11</f>
        <v>1950.9365004083461</v>
      </c>
      <c r="V12" s="18">
        <f t="shared" ref="V12" si="54">V10-V11</f>
        <v>2050.4342619291697</v>
      </c>
      <c r="W12" s="18">
        <f t="shared" ref="W12" si="55">W10-W11</f>
        <v>2155.0064092875555</v>
      </c>
      <c r="X12" s="18">
        <f t="shared" ref="X12" si="56">X10-X11</f>
        <v>2264.9117361612221</v>
      </c>
      <c r="Y12" s="18">
        <f t="shared" ref="Y12" si="57">Y10-Y11</f>
        <v>2380.4222347054474</v>
      </c>
      <c r="Z12" s="18">
        <f t="shared" ref="Z12" si="58">Z10-Z11</f>
        <v>2501.8237686754237</v>
      </c>
      <c r="AA12" s="18">
        <f t="shared" ref="AA12" si="59">AA10-AA11</f>
        <v>2629.4167808778689</v>
      </c>
      <c r="AB12" s="18">
        <f t="shared" ref="AB12" si="60">AB10-AB11</f>
        <v>2763.5170367026399</v>
      </c>
      <c r="AC12" s="18">
        <f t="shared" ref="AC12" si="61">AC10-AC11</f>
        <v>2904.4564055744731</v>
      </c>
      <c r="AD12" s="18">
        <f t="shared" ref="AD12" si="62">AD10-AD11</f>
        <v>2977.0678157138364</v>
      </c>
      <c r="AE12" s="18">
        <f>AD12*(1+$AF$35)</f>
        <v>2947.2971375566981</v>
      </c>
      <c r="AF12" s="18">
        <f t="shared" ref="AF12:CQ12" si="63">AE12*(1+$AF$35)</f>
        <v>2917.8241661811312</v>
      </c>
      <c r="AG12" s="18">
        <f t="shared" si="63"/>
        <v>2888.64592451932</v>
      </c>
      <c r="AH12" s="18">
        <f t="shared" si="63"/>
        <v>2859.7594652741268</v>
      </c>
      <c r="AI12" s="18">
        <f t="shared" si="63"/>
        <v>2831.1618706213853</v>
      </c>
      <c r="AJ12" s="18">
        <f t="shared" si="63"/>
        <v>2802.8502519151716</v>
      </c>
      <c r="AK12" s="18">
        <f t="shared" si="63"/>
        <v>2774.8217493960201</v>
      </c>
      <c r="AL12" s="18">
        <f t="shared" si="63"/>
        <v>2747.07353190206</v>
      </c>
      <c r="AM12" s="18">
        <f t="shared" si="63"/>
        <v>2719.6027965830394</v>
      </c>
      <c r="AN12" s="18">
        <f t="shared" si="63"/>
        <v>2692.4067686172089</v>
      </c>
      <c r="AO12" s="18">
        <f t="shared" si="63"/>
        <v>2665.4827009310366</v>
      </c>
      <c r="AP12" s="18">
        <f t="shared" si="63"/>
        <v>2638.8278739217262</v>
      </c>
      <c r="AQ12" s="18">
        <f t="shared" si="63"/>
        <v>2612.439595182509</v>
      </c>
      <c r="AR12" s="18">
        <f t="shared" si="63"/>
        <v>2586.3151992306839</v>
      </c>
      <c r="AS12" s="18">
        <f t="shared" si="63"/>
        <v>2560.452047238377</v>
      </c>
      <c r="AT12" s="18">
        <f t="shared" si="63"/>
        <v>2534.8475267659933</v>
      </c>
      <c r="AU12" s="18">
        <f t="shared" si="63"/>
        <v>2509.4990514983333</v>
      </c>
      <c r="AV12" s="18">
        <f t="shared" si="63"/>
        <v>2484.4040609833501</v>
      </c>
      <c r="AW12" s="18">
        <f t="shared" si="63"/>
        <v>2459.5600203735166</v>
      </c>
      <c r="AX12" s="18">
        <f t="shared" si="63"/>
        <v>2434.9644201697815</v>
      </c>
      <c r="AY12" s="18">
        <f t="shared" si="63"/>
        <v>2410.6147759680839</v>
      </c>
      <c r="AZ12" s="18">
        <f t="shared" si="63"/>
        <v>2386.508628208403</v>
      </c>
      <c r="BA12" s="18">
        <f t="shared" si="63"/>
        <v>2362.6435419263189</v>
      </c>
      <c r="BB12" s="18">
        <f t="shared" si="63"/>
        <v>2339.0171065070558</v>
      </c>
      <c r="BC12" s="18">
        <f t="shared" si="63"/>
        <v>2315.6269354419851</v>
      </c>
      <c r="BD12" s="18">
        <f t="shared" si="63"/>
        <v>2292.4706660875654</v>
      </c>
      <c r="BE12" s="18">
        <f t="shared" si="63"/>
        <v>2269.5459594266899</v>
      </c>
      <c r="BF12" s="18">
        <f t="shared" si="63"/>
        <v>2246.8504998324229</v>
      </c>
      <c r="BG12" s="18">
        <f t="shared" si="63"/>
        <v>2224.3819948340988</v>
      </c>
      <c r="BH12" s="18">
        <f t="shared" si="63"/>
        <v>2202.138174885758</v>
      </c>
      <c r="BI12" s="18">
        <f t="shared" si="63"/>
        <v>2180.1167931369005</v>
      </c>
      <c r="BJ12" s="18">
        <f t="shared" si="63"/>
        <v>2158.3156252055314</v>
      </c>
      <c r="BK12" s="18">
        <f t="shared" si="63"/>
        <v>2136.7324689534762</v>
      </c>
      <c r="BL12" s="18">
        <f t="shared" si="63"/>
        <v>2115.3651442639416</v>
      </c>
      <c r="BM12" s="18">
        <f t="shared" si="63"/>
        <v>2094.2114928213023</v>
      </c>
      <c r="BN12" s="18">
        <f t="shared" si="63"/>
        <v>2073.2693778930893</v>
      </c>
      <c r="BO12" s="18">
        <f t="shared" si="63"/>
        <v>2052.5366841141586</v>
      </c>
      <c r="BP12" s="18">
        <f t="shared" si="63"/>
        <v>2032.0113172730169</v>
      </c>
      <c r="BQ12" s="18">
        <f t="shared" si="63"/>
        <v>2011.6912041002868</v>
      </c>
      <c r="BR12" s="18">
        <f t="shared" si="63"/>
        <v>1991.5742920592838</v>
      </c>
      <c r="BS12" s="18">
        <f t="shared" si="63"/>
        <v>1971.6585491386909</v>
      </c>
      <c r="BT12" s="18">
        <f t="shared" si="63"/>
        <v>1951.941963647304</v>
      </c>
      <c r="BU12" s="18">
        <f t="shared" si="63"/>
        <v>1932.422544010831</v>
      </c>
      <c r="BV12" s="18">
        <f t="shared" si="63"/>
        <v>1913.0983185707225</v>
      </c>
      <c r="BW12" s="18">
        <f t="shared" si="63"/>
        <v>1893.9673353850153</v>
      </c>
      <c r="BX12" s="18">
        <f t="shared" si="63"/>
        <v>1875.0276620311652</v>
      </c>
      <c r="BY12" s="18">
        <f t="shared" si="63"/>
        <v>1856.2773854108534</v>
      </c>
      <c r="BZ12" s="18">
        <f t="shared" si="63"/>
        <v>1837.7146115567448</v>
      </c>
      <c r="CA12" s="18">
        <f t="shared" si="63"/>
        <v>1819.3374654411773</v>
      </c>
      <c r="CB12" s="18">
        <f t="shared" si="63"/>
        <v>1801.1440907867654</v>
      </c>
      <c r="CC12" s="18">
        <f t="shared" si="63"/>
        <v>1783.1326498788978</v>
      </c>
      <c r="CD12" s="18">
        <f t="shared" si="63"/>
        <v>1765.3013233801089</v>
      </c>
      <c r="CE12" s="18">
        <f t="shared" si="63"/>
        <v>1747.6483101463077</v>
      </c>
      <c r="CF12" s="18">
        <f t="shared" si="63"/>
        <v>1730.1718270448446</v>
      </c>
      <c r="CG12" s="18">
        <f t="shared" si="63"/>
        <v>1712.8701087743962</v>
      </c>
      <c r="CH12" s="18">
        <f t="shared" si="63"/>
        <v>1695.7414076866521</v>
      </c>
      <c r="CI12" s="18">
        <f t="shared" si="63"/>
        <v>1678.7839936097855</v>
      </c>
      <c r="CJ12" s="18">
        <f t="shared" si="63"/>
        <v>1661.9961536736876</v>
      </c>
      <c r="CK12" s="18">
        <f t="shared" si="63"/>
        <v>1645.3761921369507</v>
      </c>
      <c r="CL12" s="18">
        <f t="shared" si="63"/>
        <v>1628.9224302155812</v>
      </c>
      <c r="CM12" s="18">
        <f t="shared" si="63"/>
        <v>1612.6332059134254</v>
      </c>
      <c r="CN12" s="18">
        <f t="shared" si="63"/>
        <v>1596.5068738542911</v>
      </c>
      <c r="CO12" s="18">
        <f t="shared" si="63"/>
        <v>1580.5418051157483</v>
      </c>
      <c r="CP12" s="18">
        <f t="shared" si="63"/>
        <v>1564.7363870645909</v>
      </c>
      <c r="CQ12" s="18">
        <f t="shared" si="63"/>
        <v>1549.089023193945</v>
      </c>
      <c r="CR12" s="18">
        <f t="shared" ref="CR12:FC12" si="64">CQ12*(1+$AF$35)</f>
        <v>1533.5981329620056</v>
      </c>
      <c r="CS12" s="18">
        <f t="shared" si="64"/>
        <v>1518.2621516323854</v>
      </c>
      <c r="CT12" s="18">
        <f t="shared" si="64"/>
        <v>1503.0795301160615</v>
      </c>
      <c r="CU12" s="18">
        <f t="shared" si="64"/>
        <v>1488.0487348149009</v>
      </c>
      <c r="CV12" s="18">
        <f t="shared" si="64"/>
        <v>1473.1682474667518</v>
      </c>
      <c r="CW12" s="18">
        <f t="shared" si="64"/>
        <v>1458.4365649920844</v>
      </c>
      <c r="CX12" s="18">
        <f t="shared" si="64"/>
        <v>1443.8521993421637</v>
      </c>
      <c r="CY12" s="18">
        <f t="shared" si="64"/>
        <v>1429.4136773487421</v>
      </c>
      <c r="CZ12" s="18">
        <f t="shared" si="64"/>
        <v>1415.1195405752546</v>
      </c>
      <c r="DA12" s="18">
        <f t="shared" si="64"/>
        <v>1400.9683451695021</v>
      </c>
      <c r="DB12" s="18">
        <f t="shared" si="64"/>
        <v>1386.958661717807</v>
      </c>
      <c r="DC12" s="18">
        <f t="shared" si="64"/>
        <v>1373.0890751006289</v>
      </c>
      <c r="DD12" s="18">
        <f t="shared" si="64"/>
        <v>1359.3581843496227</v>
      </c>
      <c r="DE12" s="18">
        <f t="shared" si="64"/>
        <v>1345.7646025061265</v>
      </c>
      <c r="DF12" s="18">
        <f t="shared" si="64"/>
        <v>1332.3069564810653</v>
      </c>
      <c r="DG12" s="18">
        <f t="shared" si="64"/>
        <v>1318.9838869162547</v>
      </c>
      <c r="DH12" s="18">
        <f t="shared" si="64"/>
        <v>1305.7940480470922</v>
      </c>
      <c r="DI12" s="18">
        <f t="shared" si="64"/>
        <v>1292.7361075666213</v>
      </c>
      <c r="DJ12" s="18">
        <f t="shared" si="64"/>
        <v>1279.8087464909552</v>
      </c>
      <c r="DK12" s="18">
        <f t="shared" si="64"/>
        <v>1267.0106590260457</v>
      </c>
      <c r="DL12" s="18">
        <f t="shared" si="64"/>
        <v>1254.3405524357852</v>
      </c>
      <c r="DM12" s="18">
        <f t="shared" si="64"/>
        <v>1241.7971469114273</v>
      </c>
      <c r="DN12" s="18">
        <f t="shared" si="64"/>
        <v>1229.379175442313</v>
      </c>
      <c r="DO12" s="18">
        <f t="shared" si="64"/>
        <v>1217.0853836878898</v>
      </c>
      <c r="DP12" s="18">
        <f t="shared" si="64"/>
        <v>1204.9145298510109</v>
      </c>
      <c r="DQ12" s="18">
        <f t="shared" si="64"/>
        <v>1192.8653845525007</v>
      </c>
      <c r="DR12" s="18">
        <f t="shared" si="64"/>
        <v>1180.9367307069756</v>
      </c>
      <c r="DS12" s="18">
        <f t="shared" si="64"/>
        <v>1169.1273633999058</v>
      </c>
      <c r="DT12" s="18">
        <f t="shared" si="64"/>
        <v>1157.4360897659067</v>
      </c>
      <c r="DU12" s="18">
        <f t="shared" si="64"/>
        <v>1145.8617288682476</v>
      </c>
      <c r="DV12" s="18">
        <f t="shared" si="64"/>
        <v>1134.4031115795651</v>
      </c>
      <c r="DW12" s="18">
        <f t="shared" si="64"/>
        <v>1123.0590804637695</v>
      </c>
      <c r="DX12" s="18">
        <f t="shared" si="64"/>
        <v>1111.8284896591317</v>
      </c>
      <c r="DY12" s="18">
        <f t="shared" si="64"/>
        <v>1100.7102047625403</v>
      </c>
      <c r="DZ12" s="18">
        <f t="shared" si="64"/>
        <v>1089.7031027149148</v>
      </c>
      <c r="EA12" s="18">
        <f t="shared" si="64"/>
        <v>1078.8060716877658</v>
      </c>
      <c r="EB12" s="18">
        <f t="shared" si="64"/>
        <v>1068.0180109708881</v>
      </c>
      <c r="EC12" s="18">
        <f t="shared" si="64"/>
        <v>1057.3378308611791</v>
      </c>
      <c r="ED12" s="18">
        <f t="shared" si="64"/>
        <v>1046.7644525525673</v>
      </c>
      <c r="EE12" s="18">
        <f t="shared" si="64"/>
        <v>1036.2968080270416</v>
      </c>
      <c r="EF12" s="18">
        <f t="shared" si="64"/>
        <v>1025.9338399467713</v>
      </c>
      <c r="EG12" s="18">
        <f t="shared" si="64"/>
        <v>1015.6745015473035</v>
      </c>
      <c r="EH12" s="18">
        <f t="shared" si="64"/>
        <v>1005.5177565318305</v>
      </c>
      <c r="EI12" s="18">
        <f t="shared" si="64"/>
        <v>995.46257896651218</v>
      </c>
      <c r="EJ12" s="18">
        <f t="shared" si="64"/>
        <v>985.50795317684708</v>
      </c>
      <c r="EK12" s="18">
        <f t="shared" si="64"/>
        <v>975.65287364507856</v>
      </c>
      <c r="EL12" s="18">
        <f t="shared" si="64"/>
        <v>965.89634490862773</v>
      </c>
      <c r="EM12" s="18">
        <f t="shared" si="64"/>
        <v>956.23738145954144</v>
      </c>
      <c r="EN12" s="18">
        <f t="shared" si="64"/>
        <v>946.67500764494605</v>
      </c>
      <c r="EO12" s="18">
        <f t="shared" si="64"/>
        <v>937.20825756849661</v>
      </c>
      <c r="EP12" s="18">
        <f t="shared" si="64"/>
        <v>927.83617499281161</v>
      </c>
      <c r="EQ12" s="18">
        <f t="shared" si="64"/>
        <v>918.55781324288353</v>
      </c>
      <c r="ER12" s="18">
        <f t="shared" si="64"/>
        <v>909.37223511045465</v>
      </c>
      <c r="ES12" s="18">
        <f t="shared" si="64"/>
        <v>900.27851275935006</v>
      </c>
      <c r="ET12" s="18">
        <f t="shared" si="64"/>
        <v>891.27572763175658</v>
      </c>
      <c r="EU12" s="18">
        <f t="shared" si="64"/>
        <v>882.36297035543896</v>
      </c>
      <c r="EV12" s="18">
        <f t="shared" si="64"/>
        <v>873.53934065188457</v>
      </c>
      <c r="EW12" s="18">
        <f t="shared" si="64"/>
        <v>864.80394724536575</v>
      </c>
      <c r="EX12" s="18">
        <f t="shared" si="64"/>
        <v>856.15590777291209</v>
      </c>
      <c r="EY12" s="18">
        <f t="shared" si="64"/>
        <v>847.59434869518293</v>
      </c>
      <c r="EZ12" s="18">
        <f t="shared" si="64"/>
        <v>839.11840520823114</v>
      </c>
      <c r="FA12" s="18">
        <f t="shared" si="64"/>
        <v>830.72722115614886</v>
      </c>
      <c r="FB12" s="18">
        <f t="shared" si="64"/>
        <v>822.41994894458742</v>
      </c>
      <c r="FC12" s="18">
        <f t="shared" si="64"/>
        <v>814.19574945514148</v>
      </c>
      <c r="FD12" s="18">
        <f t="shared" ref="FD12:GE12" si="65">FC12*(1+$AF$35)</f>
        <v>806.05379196059005</v>
      </c>
      <c r="FE12" s="18">
        <f t="shared" si="65"/>
        <v>797.99325404098408</v>
      </c>
      <c r="FF12" s="18">
        <f t="shared" si="65"/>
        <v>790.01332150057419</v>
      </c>
      <c r="FG12" s="18">
        <f t="shared" si="65"/>
        <v>782.11318828556841</v>
      </c>
      <c r="FH12" s="18">
        <f t="shared" si="65"/>
        <v>774.29205640271277</v>
      </c>
      <c r="FI12" s="18">
        <f t="shared" si="65"/>
        <v>766.54913583868563</v>
      </c>
      <c r="FJ12" s="18">
        <f t="shared" si="65"/>
        <v>758.88364448029881</v>
      </c>
      <c r="FK12" s="18">
        <f t="shared" si="65"/>
        <v>751.29480803549586</v>
      </c>
      <c r="FL12" s="18">
        <f t="shared" si="65"/>
        <v>743.78185995514093</v>
      </c>
      <c r="FM12" s="18">
        <f t="shared" si="65"/>
        <v>736.34404135558952</v>
      </c>
      <c r="FN12" s="18">
        <f t="shared" si="65"/>
        <v>728.98060094203367</v>
      </c>
      <c r="FO12" s="18">
        <f t="shared" si="65"/>
        <v>721.69079493261336</v>
      </c>
      <c r="FP12" s="18">
        <f t="shared" si="65"/>
        <v>714.47388698328723</v>
      </c>
      <c r="FQ12" s="18">
        <f t="shared" si="65"/>
        <v>707.32914811345438</v>
      </c>
      <c r="FR12" s="18">
        <f t="shared" si="65"/>
        <v>700.25585663231982</v>
      </c>
      <c r="FS12" s="18">
        <f t="shared" si="65"/>
        <v>693.25329806599666</v>
      </c>
      <c r="FT12" s="18">
        <f t="shared" si="65"/>
        <v>686.32076508533669</v>
      </c>
      <c r="FU12" s="18">
        <f t="shared" si="65"/>
        <v>679.45755743448331</v>
      </c>
      <c r="FV12" s="18">
        <f t="shared" si="65"/>
        <v>672.66298186013842</v>
      </c>
      <c r="FW12" s="18">
        <f t="shared" si="65"/>
        <v>665.93635204153702</v>
      </c>
      <c r="FX12" s="18">
        <f t="shared" si="65"/>
        <v>659.27698852112167</v>
      </c>
      <c r="FY12" s="18">
        <f t="shared" si="65"/>
        <v>652.6842186359105</v>
      </c>
      <c r="FZ12" s="18">
        <f t="shared" si="65"/>
        <v>646.15737644955141</v>
      </c>
      <c r="GA12" s="18">
        <f t="shared" si="65"/>
        <v>639.69580268505592</v>
      </c>
      <c r="GB12" s="18">
        <f t="shared" si="65"/>
        <v>633.29884465820533</v>
      </c>
      <c r="GC12" s="18">
        <f t="shared" si="65"/>
        <v>626.9658562116233</v>
      </c>
      <c r="GD12" s="18">
        <f t="shared" si="65"/>
        <v>620.6961976495071</v>
      </c>
      <c r="GE12" s="18">
        <f t="shared" si="65"/>
        <v>614.48923567301199</v>
      </c>
    </row>
    <row r="13" spans="1:187" s="20" customFormat="1" x14ac:dyDescent="0.25">
      <c r="A13" s="19" t="s">
        <v>32</v>
      </c>
      <c r="B13" s="21">
        <f>B12/B14</f>
        <v>2.4188736721858275</v>
      </c>
      <c r="C13" s="21">
        <f>C12/C14</f>
        <v>2.9961687855447878</v>
      </c>
      <c r="D13" s="21">
        <f>D12/D14</f>
        <v>2.3434464451936718</v>
      </c>
      <c r="E13" s="21">
        <f>E12/E14</f>
        <v>2.9749192107020956</v>
      </c>
      <c r="F13" s="21">
        <f>F12/F14</f>
        <v>2.3466990277974209</v>
      </c>
      <c r="G13" s="21">
        <f>G12/G14</f>
        <v>2.1368668614376323</v>
      </c>
      <c r="H13" s="21">
        <f>H12/H14</f>
        <v>1.2586386003280492</v>
      </c>
      <c r="I13" s="21">
        <f>I12/I14</f>
        <v>1.8298745360566502</v>
      </c>
      <c r="J13" s="21">
        <f>J12/J14</f>
        <v>1.6533347288712539</v>
      </c>
      <c r="K13" s="21">
        <f>K12/K14</f>
        <v>2.128577618858722</v>
      </c>
      <c r="L13" s="21">
        <f t="shared" ref="L13:M13" si="66">L12/L14</f>
        <v>2.1163193381762273</v>
      </c>
      <c r="M13" s="21">
        <f t="shared" si="66"/>
        <v>2.132026912188576</v>
      </c>
      <c r="R13" s="20">
        <f>SUM(B13:E13)</f>
        <v>10.733408113626384</v>
      </c>
      <c r="S13" s="20">
        <f>SUM(F13:I13)</f>
        <v>7.5720790256197521</v>
      </c>
      <c r="T13" s="21">
        <f>SUM(J13:M13)</f>
        <v>8.0302585980947789</v>
      </c>
      <c r="U13" s="21">
        <f t="shared" ref="U13" si="67">U12/U14</f>
        <v>8.878062600835257</v>
      </c>
      <c r="V13" s="21">
        <f t="shared" ref="V13" si="68">V12/V14</f>
        <v>9.3308437934778468</v>
      </c>
      <c r="W13" s="21">
        <f t="shared" ref="W13" si="69">W12/W14</f>
        <v>9.8067168269452072</v>
      </c>
      <c r="X13" s="21">
        <f t="shared" ref="X13" si="70">X12/X14</f>
        <v>10.30685938511942</v>
      </c>
      <c r="Y13" s="21">
        <f t="shared" ref="Y13" si="71">Y12/Y14</f>
        <v>10.832509213760524</v>
      </c>
      <c r="Z13" s="21">
        <f t="shared" ref="Z13" si="72">Z12/Z14</f>
        <v>11.384967183662303</v>
      </c>
      <c r="AA13" s="21">
        <f t="shared" ref="AA13" si="73">AA12/AA14</f>
        <v>11.965600510029073</v>
      </c>
      <c r="AB13" s="21">
        <f t="shared" ref="AB13" si="74">AB12/AB14</f>
        <v>12.575846136040555</v>
      </c>
      <c r="AC13" s="21">
        <f t="shared" ref="AC13" si="75">AC12/AC14</f>
        <v>13.217214288978617</v>
      </c>
      <c r="AD13" s="21">
        <f t="shared" ref="AD13" si="76">AD12/AD14</f>
        <v>13.547644646203089</v>
      </c>
    </row>
    <row r="14" spans="1:187" s="20" customFormat="1" x14ac:dyDescent="0.25">
      <c r="A14" s="19" t="s">
        <v>34</v>
      </c>
      <c r="B14" s="20">
        <v>228.477</v>
      </c>
      <c r="C14" s="20">
        <v>226.29900000000001</v>
      </c>
      <c r="D14" s="20">
        <v>224.52699999999999</v>
      </c>
      <c r="E14" s="20">
        <v>221.56399999999999</v>
      </c>
      <c r="F14" s="20">
        <v>219.19300000000001</v>
      </c>
      <c r="G14" s="20">
        <v>219.40299999999999</v>
      </c>
      <c r="H14" s="20">
        <v>219.48</v>
      </c>
      <c r="I14" s="20">
        <v>219.58500000000001</v>
      </c>
      <c r="J14" s="20">
        <v>219.74799999999999</v>
      </c>
      <c r="K14" s="20">
        <v>219.74799999999999</v>
      </c>
      <c r="L14" s="20">
        <v>219.74799999999999</v>
      </c>
      <c r="M14" s="20">
        <v>219.74799999999999</v>
      </c>
      <c r="R14" s="20">
        <f>AVERAGE(B14:E14)</f>
        <v>225.21674999999999</v>
      </c>
      <c r="S14" s="20">
        <f>AVERAGE(F14:I14)</f>
        <v>219.41525000000001</v>
      </c>
      <c r="T14" s="20">
        <f>AVERAGE(J14:M14)</f>
        <v>219.74799999999999</v>
      </c>
      <c r="U14" s="20">
        <v>219.74799999999999</v>
      </c>
      <c r="V14" s="20">
        <v>219.74799999999999</v>
      </c>
      <c r="W14" s="20">
        <v>219.74799999999999</v>
      </c>
      <c r="X14" s="20">
        <v>219.74799999999999</v>
      </c>
      <c r="Y14" s="20">
        <v>219.74799999999999</v>
      </c>
      <c r="Z14" s="20">
        <v>219.74799999999999</v>
      </c>
      <c r="AA14" s="20">
        <v>219.74799999999999</v>
      </c>
      <c r="AB14" s="20">
        <v>219.74799999999999</v>
      </c>
      <c r="AC14" s="20">
        <v>219.74799999999999</v>
      </c>
      <c r="AD14" s="20">
        <v>219.74799999999999</v>
      </c>
    </row>
    <row r="15" spans="1:187" s="21" customFormat="1" x14ac:dyDescent="0.25">
      <c r="A15" s="22" t="s">
        <v>33</v>
      </c>
      <c r="B15" s="21">
        <v>0.55000000000000004</v>
      </c>
      <c r="C15" s="21">
        <v>0.55000000000000004</v>
      </c>
      <c r="D15" s="21">
        <v>0.55000000000000004</v>
      </c>
      <c r="E15" s="21">
        <v>0.55000000000000004</v>
      </c>
      <c r="F15" s="21">
        <v>0.59</v>
      </c>
      <c r="G15" s="21">
        <v>0.59</v>
      </c>
      <c r="H15" s="21">
        <v>0.59</v>
      </c>
      <c r="I15" s="21">
        <v>0.59</v>
      </c>
      <c r="J15" s="21">
        <v>0.59</v>
      </c>
      <c r="K15" s="21">
        <v>0.59</v>
      </c>
      <c r="L15" s="21">
        <v>0.59</v>
      </c>
      <c r="M15" s="21">
        <v>0.59</v>
      </c>
      <c r="R15" s="21">
        <f>SUM(B15:E15)</f>
        <v>2.2000000000000002</v>
      </c>
      <c r="S15" s="21">
        <f>SUM(F15:I15)</f>
        <v>2.36</v>
      </c>
      <c r="T15" s="21">
        <f>SUM(J15:M15)</f>
        <v>2.36</v>
      </c>
      <c r="U15" s="21">
        <v>2.36</v>
      </c>
      <c r="V15" s="21">
        <v>2.36</v>
      </c>
      <c r="W15" s="21">
        <v>2.36</v>
      </c>
      <c r="X15" s="21">
        <v>2.36</v>
      </c>
      <c r="Y15" s="21">
        <v>2.36</v>
      </c>
      <c r="Z15" s="21">
        <v>2.36</v>
      </c>
      <c r="AA15" s="21">
        <v>2.36</v>
      </c>
      <c r="AB15" s="21">
        <v>2.36</v>
      </c>
      <c r="AC15" s="21">
        <v>2.36</v>
      </c>
      <c r="AD15" s="21">
        <v>2.36</v>
      </c>
    </row>
    <row r="16" spans="1:187" s="21" customFormat="1" x14ac:dyDescent="0.25">
      <c r="A16" s="22"/>
    </row>
    <row r="17" spans="1:30" s="10" customFormat="1" x14ac:dyDescent="0.25">
      <c r="A17" s="9" t="s">
        <v>36</v>
      </c>
      <c r="B17" s="24"/>
      <c r="C17" s="24"/>
      <c r="D17" s="24"/>
      <c r="E17" s="24"/>
      <c r="F17" s="24">
        <f>F3/B3-1</f>
        <v>6.758727108679885E-2</v>
      </c>
      <c r="G17" s="24">
        <f>G3/C3-1</f>
        <v>3.9303976261530593E-2</v>
      </c>
      <c r="H17" s="24">
        <f>H3/D3-1</f>
        <v>2.4214858892722679E-2</v>
      </c>
      <c r="I17" s="24">
        <f>I3/E3-1</f>
        <v>-3.3754399603955987E-2</v>
      </c>
      <c r="J17" s="24">
        <f>J3/F3-1</f>
        <v>6.1136601835503512E-2</v>
      </c>
      <c r="K17" s="24">
        <f>K3/G3-1</f>
        <v>6.0999999999999943E-2</v>
      </c>
      <c r="L17" s="24">
        <f>L3/H3-1</f>
        <v>6.6000000000000059E-2</v>
      </c>
      <c r="M17" s="24">
        <f>M3/I3-1</f>
        <v>5.600000000000005E-2</v>
      </c>
      <c r="S17" s="24">
        <f>S3/R3-1</f>
        <v>2.2374133049444467E-2</v>
      </c>
      <c r="T17" s="24">
        <f>T3/S3-1</f>
        <v>6.1011736084689794E-2</v>
      </c>
      <c r="U17" s="24">
        <f t="shared" ref="U17:AD17" si="77">U3/T3-1</f>
        <v>5.600000000000005E-2</v>
      </c>
      <c r="V17" s="24">
        <f t="shared" si="77"/>
        <v>5.0999999999999934E-2</v>
      </c>
      <c r="W17" s="24">
        <f t="shared" si="77"/>
        <v>5.0999999999999934E-2</v>
      </c>
      <c r="X17" s="24">
        <f t="shared" si="77"/>
        <v>5.0999999999999934E-2</v>
      </c>
      <c r="Y17" s="24">
        <f t="shared" si="77"/>
        <v>5.0999999999999934E-2</v>
      </c>
      <c r="Z17" s="24">
        <f t="shared" si="77"/>
        <v>5.0999999999999934E-2</v>
      </c>
      <c r="AA17" s="24">
        <f t="shared" si="77"/>
        <v>5.0999999999999934E-2</v>
      </c>
      <c r="AB17" s="24">
        <f t="shared" si="77"/>
        <v>5.0999999999999934E-2</v>
      </c>
      <c r="AC17" s="24">
        <f t="shared" si="77"/>
        <v>5.0999999999999934E-2</v>
      </c>
      <c r="AD17" s="24">
        <f t="shared" si="77"/>
        <v>2.4999999999999911E-2</v>
      </c>
    </row>
    <row r="18" spans="1:30" s="12" customFormat="1" x14ac:dyDescent="0.25">
      <c r="A18" s="11" t="s">
        <v>37</v>
      </c>
      <c r="B18" s="25"/>
      <c r="C18" s="25">
        <f>C3/B3-1</f>
        <v>7.7057922021648739E-2</v>
      </c>
      <c r="D18" s="25">
        <f>D3/C3-1</f>
        <v>4.1565025372616304E-3</v>
      </c>
      <c r="E18" s="25">
        <f>E3/D3-1</f>
        <v>7.7974062247520903E-2</v>
      </c>
      <c r="F18" s="25">
        <f>F3/E3-1</f>
        <v>-8.4297053771047681E-2</v>
      </c>
      <c r="G18" s="25">
        <f>G3/F3-1</f>
        <v>4.8523723855892875E-2</v>
      </c>
      <c r="H18" s="25">
        <f>H3/G3-1</f>
        <v>-1.0422326823075201E-2</v>
      </c>
      <c r="I18" s="25">
        <f>I3/H3-1</f>
        <v>1.6962101207726343E-2</v>
      </c>
      <c r="J18" s="25">
        <f>J3/I3-1</f>
        <v>5.6303617360589087E-3</v>
      </c>
      <c r="K18" s="25">
        <f>K3/J3-1</f>
        <v>4.8388745696624991E-2</v>
      </c>
      <c r="L18" s="25">
        <f>L3/K3-1</f>
        <v>-5.7589070625807537E-3</v>
      </c>
      <c r="M18" s="25">
        <f>M3/L3-1</f>
        <v>7.4221190200367548E-3</v>
      </c>
    </row>
    <row r="20" spans="1:30" s="14" customFormat="1" x14ac:dyDescent="0.25">
      <c r="A20" s="13" t="s">
        <v>38</v>
      </c>
      <c r="B20" s="24">
        <f>B5/B3</f>
        <v>0.31290742276164885</v>
      </c>
      <c r="C20" s="24">
        <f>C5/C3</f>
        <v>0.32339442119657158</v>
      </c>
      <c r="D20" s="24">
        <f>D5/D3</f>
        <v>0.30483129705350015</v>
      </c>
      <c r="E20" s="24">
        <f>E5/E3</f>
        <v>0.3085705867945282</v>
      </c>
      <c r="F20" s="24">
        <f>F5/F3</f>
        <v>0.31633598891642278</v>
      </c>
      <c r="G20" s="24">
        <f>G5/G3</f>
        <v>0.31080336306566819</v>
      </c>
      <c r="H20" s="24">
        <f>H5/H3</f>
        <v>0.29012834840885399</v>
      </c>
      <c r="I20" s="24">
        <f>I5/I3</f>
        <v>0.29480467340209687</v>
      </c>
      <c r="J20" s="51">
        <f>J5/J3</f>
        <v>0.30180983074375173</v>
      </c>
      <c r="K20" s="24">
        <f>K5/K3</f>
        <v>0.30710000000000004</v>
      </c>
      <c r="L20" s="24">
        <f>L5/L3</f>
        <v>0.3071000000000001</v>
      </c>
      <c r="M20" s="24">
        <f>M5/M3</f>
        <v>0.30710000000000004</v>
      </c>
      <c r="R20" s="24">
        <f>R5/R3</f>
        <v>0.31233031547769113</v>
      </c>
      <c r="S20" s="24">
        <f>S5/S3</f>
        <v>0.30288282919430937</v>
      </c>
      <c r="T20" s="24">
        <f t="shared" ref="T20:AD20" si="78">T5/T3</f>
        <v>0.30582243671127274</v>
      </c>
      <c r="U20" s="24">
        <f t="shared" si="78"/>
        <v>0.30710000000000004</v>
      </c>
      <c r="V20" s="24">
        <f t="shared" si="78"/>
        <v>0.30710000000000004</v>
      </c>
      <c r="W20" s="24">
        <f t="shared" si="78"/>
        <v>0.30709999999999998</v>
      </c>
      <c r="X20" s="24">
        <f t="shared" si="78"/>
        <v>0.30709999999999998</v>
      </c>
      <c r="Y20" s="24">
        <f t="shared" si="78"/>
        <v>0.3071000000000001</v>
      </c>
      <c r="Z20" s="24">
        <f t="shared" si="78"/>
        <v>0.30710000000000004</v>
      </c>
      <c r="AA20" s="24">
        <f t="shared" si="78"/>
        <v>0.30710000000000004</v>
      </c>
      <c r="AB20" s="24">
        <f t="shared" si="78"/>
        <v>0.30710000000000004</v>
      </c>
      <c r="AC20" s="24">
        <f t="shared" si="78"/>
        <v>0.30709999999999998</v>
      </c>
      <c r="AD20" s="24">
        <f t="shared" si="78"/>
        <v>0.30710000000000004</v>
      </c>
    </row>
    <row r="21" spans="1:30" s="16" customFormat="1" x14ac:dyDescent="0.25">
      <c r="A21" s="15" t="s">
        <v>39</v>
      </c>
      <c r="B21" s="26">
        <f>B7/B3</f>
        <v>8.526191153092702E-2</v>
      </c>
      <c r="C21" s="26">
        <f>C7/C3</f>
        <v>9.6907894394832508E-2</v>
      </c>
      <c r="D21" s="26">
        <f>D7/D3</f>
        <v>7.771299215173208E-2</v>
      </c>
      <c r="E21" s="26">
        <f>E7/E3</f>
        <v>9.1461580508378562E-2</v>
      </c>
      <c r="F21" s="26">
        <f>F7/F3</f>
        <v>7.9296941227242457E-2</v>
      </c>
      <c r="G21" s="26">
        <f>G7/G3</f>
        <v>7.0671826092229287E-2</v>
      </c>
      <c r="H21" s="26">
        <f>H7/H3</f>
        <v>4.4715322193478471E-2</v>
      </c>
      <c r="I21" s="26">
        <f>I7/I3</f>
        <v>5.8797299471299587E-2</v>
      </c>
      <c r="J21" s="52">
        <f>J7/J3</f>
        <v>5.5084006781910208E-2</v>
      </c>
      <c r="K21" s="26">
        <f>K7/K3</f>
        <v>6.6000000000000003E-2</v>
      </c>
      <c r="L21" s="26">
        <f>L7/L3</f>
        <v>6.6000000000000072E-2</v>
      </c>
      <c r="M21" s="26">
        <f>M7/M3</f>
        <v>6.6000000000000059E-2</v>
      </c>
      <c r="R21" s="26">
        <f>R7/R3</f>
        <v>8.7945938660155806E-2</v>
      </c>
      <c r="S21" s="26">
        <f>S7/S3</f>
        <v>6.3225594986241099E-2</v>
      </c>
      <c r="T21" s="26">
        <f t="shared" ref="T21:AD21" si="79">T7/T3</f>
        <v>6.3363813609752545E-2</v>
      </c>
      <c r="U21" s="26">
        <f t="shared" si="79"/>
        <v>6.6000000000000072E-2</v>
      </c>
      <c r="V21" s="26">
        <f t="shared" si="79"/>
        <v>6.6000000000000017E-2</v>
      </c>
      <c r="W21" s="26">
        <f t="shared" si="79"/>
        <v>6.5999999999999961E-2</v>
      </c>
      <c r="X21" s="26">
        <f t="shared" si="79"/>
        <v>6.6000000000000003E-2</v>
      </c>
      <c r="Y21" s="26">
        <f t="shared" si="79"/>
        <v>6.6000000000000086E-2</v>
      </c>
      <c r="Z21" s="26">
        <f t="shared" si="79"/>
        <v>6.6000000000000045E-2</v>
      </c>
      <c r="AA21" s="26">
        <f t="shared" si="79"/>
        <v>6.6000000000000017E-2</v>
      </c>
      <c r="AB21" s="26">
        <f t="shared" si="79"/>
        <v>6.6000000000000017E-2</v>
      </c>
      <c r="AC21" s="26">
        <f t="shared" si="79"/>
        <v>6.6000000000000003E-2</v>
      </c>
      <c r="AD21" s="26">
        <f t="shared" si="79"/>
        <v>6.6000000000000017E-2</v>
      </c>
    </row>
    <row r="22" spans="1:30" s="16" customFormat="1" x14ac:dyDescent="0.25">
      <c r="A22" s="15" t="s">
        <v>40</v>
      </c>
      <c r="B22" s="26">
        <f>B12/B3</f>
        <v>6.3151042261812951E-2</v>
      </c>
      <c r="C22" s="26">
        <f>C12/C3</f>
        <v>7.1934080742751233E-2</v>
      </c>
      <c r="D22" s="26">
        <f>D12/D3</f>
        <v>5.5591448438233423E-2</v>
      </c>
      <c r="E22" s="26">
        <f>E12/E3</f>
        <v>6.4602666671371128E-2</v>
      </c>
      <c r="F22" s="26">
        <f>F12/F3</f>
        <v>5.5056111465988052E-2</v>
      </c>
      <c r="G22" s="26">
        <f>G12/G3</f>
        <v>4.7858956464769356E-2</v>
      </c>
      <c r="H22" s="26">
        <f>H12/H3</f>
        <v>2.8496354786353179E-2</v>
      </c>
      <c r="I22" s="26">
        <f>I12/I3</f>
        <v>4.0757968188714806E-2</v>
      </c>
      <c r="J22" s="52">
        <f>J12/J3</f>
        <v>3.664678539615765E-2</v>
      </c>
      <c r="K22" s="26">
        <f>K12/K3</f>
        <v>4.5003080000000008E-2</v>
      </c>
      <c r="L22" s="26">
        <f>L12/L3</f>
        <v>4.5003080000000056E-2</v>
      </c>
      <c r="M22" s="26">
        <f>M12/M3</f>
        <v>4.5003080000000042E-2</v>
      </c>
      <c r="R22" s="26">
        <f>R12/R3</f>
        <v>6.383928513626802E-2</v>
      </c>
      <c r="S22" s="26">
        <f>S12/S3</f>
        <v>4.2936286262998287E-2</v>
      </c>
      <c r="T22" s="26">
        <f t="shared" ref="T22:AD22" si="80">T12/T3</f>
        <v>4.2985054734919974E-2</v>
      </c>
      <c r="U22" s="26">
        <f t="shared" si="80"/>
        <v>4.5003080000000056E-2</v>
      </c>
      <c r="V22" s="26">
        <f t="shared" si="80"/>
        <v>4.5003080000000008E-2</v>
      </c>
      <c r="W22" s="26">
        <f t="shared" si="80"/>
        <v>4.5003079999999973E-2</v>
      </c>
      <c r="X22" s="26">
        <f t="shared" si="80"/>
        <v>4.5003080000000001E-2</v>
      </c>
      <c r="Y22" s="26">
        <f t="shared" si="80"/>
        <v>4.5003080000000063E-2</v>
      </c>
      <c r="Z22" s="26">
        <f t="shared" si="80"/>
        <v>4.5003080000000036E-2</v>
      </c>
      <c r="AA22" s="26">
        <f t="shared" si="80"/>
        <v>4.5003080000000015E-2</v>
      </c>
      <c r="AB22" s="26">
        <f t="shared" si="80"/>
        <v>4.5003080000000015E-2</v>
      </c>
      <c r="AC22" s="26">
        <f t="shared" si="80"/>
        <v>4.5003079999999994E-2</v>
      </c>
      <c r="AD22" s="26">
        <f t="shared" si="80"/>
        <v>4.5003080000000022E-2</v>
      </c>
    </row>
    <row r="23" spans="1:30" s="12" customFormat="1" x14ac:dyDescent="0.25">
      <c r="A23" s="11" t="s">
        <v>41</v>
      </c>
      <c r="B23" s="25">
        <f>B11/B10</f>
        <v>0.21773267787810252</v>
      </c>
      <c r="C23" s="25">
        <f>C11/C10</f>
        <v>0.22094888363927165</v>
      </c>
      <c r="D23" s="25">
        <f>D11/D10</f>
        <v>0.22787031751459039</v>
      </c>
      <c r="E23" s="25">
        <f>E11/E10</f>
        <v>0.23209600678506379</v>
      </c>
      <c r="F23" s="25">
        <f>F11/F10</f>
        <v>0.21805357088565255</v>
      </c>
      <c r="G23" s="25">
        <f>G11/G10</f>
        <v>0.22886063124098416</v>
      </c>
      <c r="H23" s="25">
        <f>H11/H10</f>
        <v>0.21338895453962997</v>
      </c>
      <c r="I23" s="25">
        <f>I11/I10</f>
        <v>0.20043101303983607</v>
      </c>
      <c r="J23" s="53">
        <f>J11/J10</f>
        <v>0.23297605299881127</v>
      </c>
      <c r="K23" s="25">
        <f>K11/K10</f>
        <v>0.22140000000000001</v>
      </c>
      <c r="L23" s="25">
        <f>L11/L10</f>
        <v>0.22140000000000001</v>
      </c>
      <c r="M23" s="25">
        <f>M11/M10</f>
        <v>0.22139999999999999</v>
      </c>
      <c r="R23" s="25">
        <f>R11/R10</f>
        <v>0.22480326405515733</v>
      </c>
      <c r="S23" s="25">
        <f>S11/S10</f>
        <v>0.2162023553457175</v>
      </c>
      <c r="T23" s="25">
        <f t="shared" ref="T23:AD23" si="81">T11/T10</f>
        <v>0.22381184753333636</v>
      </c>
      <c r="U23" s="25">
        <f t="shared" si="81"/>
        <v>0.22140000000000004</v>
      </c>
      <c r="V23" s="25">
        <f t="shared" si="81"/>
        <v>0.22139999999999999</v>
      </c>
      <c r="W23" s="25">
        <f t="shared" si="81"/>
        <v>0.22140000000000001</v>
      </c>
      <c r="X23" s="25">
        <f t="shared" si="81"/>
        <v>0.22140000000000001</v>
      </c>
      <c r="Y23" s="25">
        <f t="shared" si="81"/>
        <v>0.22140000000000001</v>
      </c>
      <c r="Z23" s="25">
        <f t="shared" si="81"/>
        <v>0.22140000000000001</v>
      </c>
      <c r="AA23" s="25">
        <f t="shared" si="81"/>
        <v>0.22140000000000001</v>
      </c>
      <c r="AB23" s="25">
        <f t="shared" si="81"/>
        <v>0.22140000000000001</v>
      </c>
      <c r="AC23" s="25">
        <f t="shared" si="81"/>
        <v>0.22140000000000001</v>
      </c>
      <c r="AD23" s="25">
        <f t="shared" si="81"/>
        <v>0.22140000000000001</v>
      </c>
    </row>
    <row r="25" spans="1:30" s="14" customFormat="1" x14ac:dyDescent="0.25">
      <c r="A25" s="13" t="s">
        <v>42</v>
      </c>
      <c r="E25" s="10"/>
      <c r="F25" s="10">
        <f t="shared" ref="F25:I25" si="82">F71+F74+F84</f>
        <v>-68.511999999999958</v>
      </c>
      <c r="G25" s="10">
        <f t="shared" si="82"/>
        <v>39.954000000000704</v>
      </c>
      <c r="H25" s="10">
        <f t="shared" si="82"/>
        <v>12.429000000000286</v>
      </c>
      <c r="I25" s="10">
        <f t="shared" si="82"/>
        <v>171.83599999999927</v>
      </c>
      <c r="J25" s="10">
        <f>J71+J74+J84</f>
        <v>183.41700000000026</v>
      </c>
      <c r="S25" s="10">
        <f>S71+S74+S84</f>
        <v>155.70700000000045</v>
      </c>
    </row>
    <row r="26" spans="1:30" s="12" customFormat="1" x14ac:dyDescent="0.25">
      <c r="A26" s="11" t="s">
        <v>43</v>
      </c>
      <c r="E26" s="54"/>
      <c r="F26" s="54">
        <f t="shared" ref="F26:I26" si="83">F71+F72</f>
        <v>-172.02599999999993</v>
      </c>
      <c r="G26" s="54">
        <f t="shared" si="83"/>
        <v>130.81200000000075</v>
      </c>
      <c r="H26" s="54">
        <f t="shared" si="83"/>
        <v>242.72600000000017</v>
      </c>
      <c r="I26" s="54">
        <f t="shared" si="83"/>
        <v>490.06399999999945</v>
      </c>
      <c r="J26" s="54">
        <f>J71+J72</f>
        <v>321.83100000000024</v>
      </c>
      <c r="S26" s="54">
        <f>S71+S72</f>
        <v>691.5760000000007</v>
      </c>
    </row>
    <row r="28" spans="1:30" s="14" customFormat="1" x14ac:dyDescent="0.25">
      <c r="A28" s="13" t="s">
        <v>44</v>
      </c>
      <c r="H28" s="51">
        <f>(H12+G12+F12+E12)/H44</f>
        <v>6.2648797735521747E-2</v>
      </c>
      <c r="I28" s="51">
        <f>(I12+H12+G12+F12)/I44</f>
        <v>5.3945189751351111E-2</v>
      </c>
      <c r="J28" s="51">
        <f>(J12+I12+H12+G12)/J44</f>
        <v>4.8701560770136952E-2</v>
      </c>
      <c r="R28" s="51">
        <f>R12/R44</f>
        <v>8.3071158851724419E-2</v>
      </c>
      <c r="S28" s="51">
        <f>S12/S44</f>
        <v>5.3945189751351118E-2</v>
      </c>
    </row>
    <row r="29" spans="1:30" s="16" customFormat="1" x14ac:dyDescent="0.25">
      <c r="A29" s="15" t="s">
        <v>45</v>
      </c>
      <c r="H29" s="52">
        <f>(H12+G12+F12+E12)/H57</f>
        <v>0.29736988451745261</v>
      </c>
      <c r="I29" s="52">
        <f>(I12+H12+G12+F12)/I57</f>
        <v>0.24614679338147699</v>
      </c>
      <c r="J29" s="52">
        <f>(J12+I12+H12+G12)/J57</f>
        <v>0.21573891181925503</v>
      </c>
      <c r="R29" s="52">
        <f>R12/R57</f>
        <v>0.43595965333831843</v>
      </c>
      <c r="S29" s="52">
        <f>S12/S57</f>
        <v>0.24614679338147702</v>
      </c>
    </row>
    <row r="30" spans="1:30" s="12" customFormat="1" x14ac:dyDescent="0.25">
      <c r="A30" s="11" t="s">
        <v>46</v>
      </c>
      <c r="H30" s="53">
        <f t="shared" ref="H30:I30" si="84">(H98+G98+F98+E98)/H97</f>
        <v>8.7164297306807942E-2</v>
      </c>
      <c r="I30" s="53">
        <f t="shared" si="84"/>
        <v>7.5565194918957163E-2</v>
      </c>
      <c r="J30" s="53">
        <f>(J98+I98+H98+G98)/J97</f>
        <v>6.7995796582293058E-2</v>
      </c>
      <c r="R30" s="53">
        <f>R98/R97</f>
        <v>0.10939789458021598</v>
      </c>
      <c r="S30" s="53">
        <f>S98/S97</f>
        <v>7.5556270822566649E-2</v>
      </c>
    </row>
    <row r="31" spans="1:30" s="16" customFormat="1" x14ac:dyDescent="0.25">
      <c r="A31" s="15"/>
    </row>
    <row r="32" spans="1:30" s="28" customFormat="1" x14ac:dyDescent="0.25">
      <c r="A32" s="27" t="s">
        <v>70</v>
      </c>
      <c r="E32" s="33">
        <f t="shared" ref="E32:I32" si="85">E33-E34</f>
        <v>-17279.523000000001</v>
      </c>
      <c r="F32" s="33">
        <f t="shared" si="85"/>
        <v>-17427.289000000004</v>
      </c>
      <c r="G32" s="33">
        <f t="shared" si="85"/>
        <v>-17682.823</v>
      </c>
      <c r="H32" s="33">
        <f t="shared" si="85"/>
        <v>-17721.287</v>
      </c>
      <c r="I32" s="33">
        <f t="shared" si="85"/>
        <v>-17553.483</v>
      </c>
      <c r="J32" s="33">
        <f>J33-J34</f>
        <v>-17401.109999999997</v>
      </c>
      <c r="R32" s="33">
        <f t="shared" ref="R32:S32" si="86">R33-R34</f>
        <v>-17279.523000000001</v>
      </c>
      <c r="S32" s="33">
        <f t="shared" si="86"/>
        <v>-17553.483</v>
      </c>
    </row>
    <row r="33" spans="1:32" s="16" customFormat="1" x14ac:dyDescent="0.25">
      <c r="A33" s="15" t="s">
        <v>3</v>
      </c>
      <c r="E33" s="31">
        <f t="shared" ref="E33" si="87">E35</f>
        <v>381.57600000000002</v>
      </c>
      <c r="F33" s="31">
        <f t="shared" ref="F33:I33" si="88">F35</f>
        <v>313.06400000000002</v>
      </c>
      <c r="G33" s="31">
        <f t="shared" si="88"/>
        <v>353.01799999999997</v>
      </c>
      <c r="H33" s="31">
        <f t="shared" si="88"/>
        <v>365.447</v>
      </c>
      <c r="I33" s="31">
        <f t="shared" si="88"/>
        <v>537.28300000000002</v>
      </c>
      <c r="J33" s="31">
        <f>J35</f>
        <v>720.7</v>
      </c>
      <c r="R33" s="31">
        <f t="shared" ref="R33:S33" si="89">R35</f>
        <v>381.57600000000002</v>
      </c>
      <c r="S33" s="31">
        <f t="shared" si="89"/>
        <v>537.28300000000002</v>
      </c>
    </row>
    <row r="34" spans="1:32" s="30" customFormat="1" ht="13.8" thickBot="1" x14ac:dyDescent="0.3">
      <c r="A34" s="29" t="s">
        <v>4</v>
      </c>
      <c r="E34" s="32">
        <f t="shared" ref="E34" si="90">E46+E47+E52+E53</f>
        <v>17661.099000000002</v>
      </c>
      <c r="F34" s="32">
        <f t="shared" ref="F34:I34" si="91">F46+F47+F52+F53</f>
        <v>17740.353000000003</v>
      </c>
      <c r="G34" s="32">
        <f t="shared" si="91"/>
        <v>18035.841</v>
      </c>
      <c r="H34" s="32">
        <f t="shared" si="91"/>
        <v>18086.734</v>
      </c>
      <c r="I34" s="32">
        <f t="shared" si="91"/>
        <v>18090.766</v>
      </c>
      <c r="J34" s="32">
        <f>J46+J47+J52+J53</f>
        <v>18121.809999999998</v>
      </c>
      <c r="R34" s="32">
        <f t="shared" ref="R34:S34" si="92">R46+R47+R52+R53</f>
        <v>17661.099000000002</v>
      </c>
      <c r="S34" s="32">
        <f t="shared" si="92"/>
        <v>18090.766</v>
      </c>
    </row>
    <row r="35" spans="1:32" s="20" customFormat="1" x14ac:dyDescent="0.25">
      <c r="A35" s="19" t="s">
        <v>47</v>
      </c>
      <c r="E35" s="20">
        <v>381.57600000000002</v>
      </c>
      <c r="F35" s="20">
        <v>313.06400000000002</v>
      </c>
      <c r="G35" s="20">
        <v>353.01799999999997</v>
      </c>
      <c r="H35" s="20">
        <v>365.447</v>
      </c>
      <c r="I35" s="20">
        <v>537.28300000000002</v>
      </c>
      <c r="J35" s="20">
        <v>720.7</v>
      </c>
      <c r="R35" s="20">
        <v>381.57600000000002</v>
      </c>
      <c r="S35" s="20">
        <v>537.28300000000002</v>
      </c>
      <c r="AE35" s="60" t="s">
        <v>148</v>
      </c>
      <c r="AF35" s="61">
        <v>-0.01</v>
      </c>
    </row>
    <row r="36" spans="1:32" s="20" customFormat="1" x14ac:dyDescent="0.25">
      <c r="A36" s="19" t="s">
        <v>48</v>
      </c>
      <c r="E36" s="20">
        <v>6760.7330000000002</v>
      </c>
      <c r="F36" s="20">
        <v>7335.8450000000003</v>
      </c>
      <c r="G36" s="20">
        <v>7531.4589999999998</v>
      </c>
      <c r="H36" s="20">
        <v>7356.0649999999996</v>
      </c>
      <c r="I36" s="20">
        <v>6994.2659999999996</v>
      </c>
      <c r="J36" s="20">
        <v>6934.3890000000001</v>
      </c>
      <c r="R36" s="20">
        <v>6760.7330000000002</v>
      </c>
      <c r="S36" s="20">
        <v>6994.2659999999996</v>
      </c>
      <c r="AE36" s="60" t="s">
        <v>149</v>
      </c>
      <c r="AF36" s="61">
        <v>4.3400000000000001E-2</v>
      </c>
    </row>
    <row r="37" spans="1:32" s="20" customFormat="1" x14ac:dyDescent="0.25">
      <c r="A37" s="19" t="s">
        <v>49</v>
      </c>
      <c r="E37" s="20">
        <v>135.77500000000001</v>
      </c>
      <c r="F37" s="20">
        <v>50.863</v>
      </c>
      <c r="G37" s="20">
        <v>151.72999999999999</v>
      </c>
      <c r="H37" s="20">
        <v>197.55500000000001</v>
      </c>
      <c r="I37" s="20">
        <v>112.262</v>
      </c>
      <c r="J37" s="20">
        <v>34.945999999999998</v>
      </c>
      <c r="R37" s="20">
        <v>135.77500000000001</v>
      </c>
      <c r="S37" s="20">
        <v>112.262</v>
      </c>
      <c r="AE37" s="60" t="s">
        <v>150</v>
      </c>
      <c r="AF37" s="62">
        <f>NPV(AF36,T12:GE12)</f>
        <v>54741.776191338853</v>
      </c>
    </row>
    <row r="38" spans="1:32" s="20" customFormat="1" x14ac:dyDescent="0.25">
      <c r="A38" s="19" t="s">
        <v>50</v>
      </c>
      <c r="E38" s="20">
        <v>302.92500000000001</v>
      </c>
      <c r="F38" s="20">
        <v>355.68799999999999</v>
      </c>
      <c r="G38" s="20">
        <v>377.77199999999999</v>
      </c>
      <c r="H38" s="20">
        <v>352.01100000000002</v>
      </c>
      <c r="I38" s="20">
        <v>366.91300000000001</v>
      </c>
      <c r="J38" s="20">
        <v>406.93599999999998</v>
      </c>
      <c r="R38" s="20">
        <v>302.92500000000001</v>
      </c>
      <c r="S38" s="20">
        <v>366.91300000000001</v>
      </c>
      <c r="AE38" s="60" t="s">
        <v>3</v>
      </c>
      <c r="AF38" s="62">
        <v>-17553</v>
      </c>
    </row>
    <row r="39" spans="1:32" s="18" customFormat="1" x14ac:dyDescent="0.25">
      <c r="A39" s="17" t="s">
        <v>51</v>
      </c>
      <c r="E39" s="18">
        <f t="shared" ref="E39:M39" si="93">SUM(E35:E38)</f>
        <v>7581.009</v>
      </c>
      <c r="F39" s="18">
        <f t="shared" si="93"/>
        <v>8055.4600000000009</v>
      </c>
      <c r="G39" s="18">
        <f t="shared" si="93"/>
        <v>8413.9789999999994</v>
      </c>
      <c r="H39" s="18">
        <f t="shared" si="93"/>
        <v>8271.0779999999995</v>
      </c>
      <c r="I39" s="18">
        <f t="shared" si="93"/>
        <v>8010.7240000000002</v>
      </c>
      <c r="J39" s="18">
        <f>SUM(J35:J38)</f>
        <v>8096.9709999999995</v>
      </c>
      <c r="K39" s="18">
        <f t="shared" si="93"/>
        <v>0</v>
      </c>
      <c r="L39" s="18">
        <f t="shared" si="93"/>
        <v>0</v>
      </c>
      <c r="M39" s="18">
        <f t="shared" si="93"/>
        <v>0</v>
      </c>
      <c r="R39" s="18">
        <f t="shared" ref="R39" si="94">SUM(R35:R38)</f>
        <v>7581.009</v>
      </c>
      <c r="S39" s="18">
        <f t="shared" ref="S39" si="95">SUM(S35:S38)</f>
        <v>8010.7240000000002</v>
      </c>
      <c r="AE39" s="60" t="s">
        <v>151</v>
      </c>
      <c r="AF39" s="62">
        <f>AF37+AF38</f>
        <v>37188.776191338853</v>
      </c>
    </row>
    <row r="40" spans="1:32" s="20" customFormat="1" x14ac:dyDescent="0.25">
      <c r="A40" s="19" t="s">
        <v>52</v>
      </c>
      <c r="E40" s="20">
        <v>5236.3090000000002</v>
      </c>
      <c r="F40" s="20">
        <v>5420.134</v>
      </c>
      <c r="G40" s="20">
        <v>5624.1289999999999</v>
      </c>
      <c r="H40" s="20">
        <v>5848.3850000000002</v>
      </c>
      <c r="I40" s="20">
        <v>6087.7219999999998</v>
      </c>
      <c r="J40" s="20">
        <v>6172.4960000000001</v>
      </c>
      <c r="R40" s="20">
        <v>5236.3090000000002</v>
      </c>
      <c r="S40" s="20">
        <v>6087.7219999999998</v>
      </c>
      <c r="AE40" s="60" t="s">
        <v>152</v>
      </c>
      <c r="AF40" s="63">
        <f>AF39/Main!L3</f>
        <v>169.12087607905468</v>
      </c>
    </row>
    <row r="41" spans="1:32" s="20" customFormat="1" x14ac:dyDescent="0.25">
      <c r="A41" s="19" t="s">
        <v>53</v>
      </c>
      <c r="E41" s="20">
        <v>10670.013999999999</v>
      </c>
      <c r="F41" s="20">
        <v>10726.522999999999</v>
      </c>
      <c r="G41" s="20">
        <v>10755.172</v>
      </c>
      <c r="H41" s="20">
        <v>10904.323</v>
      </c>
      <c r="I41" s="20">
        <v>11098.227999999999</v>
      </c>
      <c r="J41" s="20">
        <v>11138.733</v>
      </c>
      <c r="R41" s="20">
        <v>10670.013999999999</v>
      </c>
      <c r="S41" s="20">
        <v>11098.227999999999</v>
      </c>
      <c r="AE41" s="64" t="s">
        <v>153</v>
      </c>
      <c r="AF41" s="65">
        <f>AF40/Main!L2-1</f>
        <v>0.34212265755935789</v>
      </c>
    </row>
    <row r="42" spans="1:32" s="20" customFormat="1" x14ac:dyDescent="0.25">
      <c r="A42" s="19" t="s">
        <v>54</v>
      </c>
      <c r="E42" s="20">
        <f>4338.589+1199.7</f>
        <v>5538.2889999999998</v>
      </c>
      <c r="F42" s="20">
        <f>4338.589+1199.7</f>
        <v>5538.2889999999998</v>
      </c>
      <c r="G42" s="20">
        <f>4338.589+1199.7</f>
        <v>5538.2889999999998</v>
      </c>
      <c r="H42" s="20">
        <f>4338.589+1199.7</f>
        <v>5538.2889999999998</v>
      </c>
      <c r="I42" s="20">
        <f>4338.589+1199.7</f>
        <v>5538.2889999999998</v>
      </c>
      <c r="J42" s="20">
        <f>4338.589+1199.7</f>
        <v>5538.2889999999998</v>
      </c>
      <c r="R42" s="20">
        <f>4338.589+1199.7</f>
        <v>5538.2889999999998</v>
      </c>
      <c r="S42" s="20">
        <f>4338.589+1199.7</f>
        <v>5538.2889999999998</v>
      </c>
    </row>
    <row r="43" spans="1:32" s="20" customFormat="1" x14ac:dyDescent="0.25">
      <c r="A43" s="19" t="s">
        <v>55</v>
      </c>
      <c r="E43" s="20">
        <v>57.746000000000002</v>
      </c>
      <c r="F43" s="20">
        <v>63.527000000000001</v>
      </c>
      <c r="G43" s="20">
        <v>63.988</v>
      </c>
      <c r="H43" s="20">
        <v>62.551000000000002</v>
      </c>
      <c r="I43" s="20">
        <v>60.628</v>
      </c>
      <c r="J43" s="20">
        <v>63.01</v>
      </c>
      <c r="R43" s="20">
        <v>57.746000000000002</v>
      </c>
      <c r="S43" s="20">
        <v>60.628</v>
      </c>
    </row>
    <row r="44" spans="1:32" s="18" customFormat="1" x14ac:dyDescent="0.25">
      <c r="A44" s="17" t="s">
        <v>56</v>
      </c>
      <c r="E44" s="18">
        <f t="shared" ref="E44:M44" si="96">SUM(E40:E43)+E39</f>
        <v>29083.366999999998</v>
      </c>
      <c r="F44" s="18">
        <f t="shared" si="96"/>
        <v>29803.932999999997</v>
      </c>
      <c r="G44" s="18">
        <f t="shared" si="96"/>
        <v>30395.557000000001</v>
      </c>
      <c r="H44" s="18">
        <f t="shared" si="96"/>
        <v>30624.625999999997</v>
      </c>
      <c r="I44" s="18">
        <f t="shared" si="96"/>
        <v>30795.591</v>
      </c>
      <c r="J44" s="18">
        <f>SUM(J40:J43)+J39</f>
        <v>31009.498999999996</v>
      </c>
      <c r="K44" s="18">
        <f t="shared" si="96"/>
        <v>0</v>
      </c>
      <c r="L44" s="18">
        <f t="shared" si="96"/>
        <v>0</v>
      </c>
      <c r="M44" s="18">
        <f t="shared" si="96"/>
        <v>0</v>
      </c>
      <c r="R44" s="18">
        <f t="shared" ref="R44" si="97">SUM(R40:R43)+R39</f>
        <v>29083.366999999998</v>
      </c>
      <c r="S44" s="18">
        <f t="shared" ref="S44" si="98">SUM(S40:S43)+S39</f>
        <v>30795.591</v>
      </c>
    </row>
    <row r="45" spans="1:32" s="20" customFormat="1" hidden="1" outlineLevel="1" x14ac:dyDescent="0.25">
      <c r="A45" s="19" t="s">
        <v>102</v>
      </c>
      <c r="F45" s="20">
        <v>250</v>
      </c>
    </row>
    <row r="46" spans="1:32" s="20" customFormat="1" collapsed="1" x14ac:dyDescent="0.25">
      <c r="A46" s="19" t="s">
        <v>57</v>
      </c>
      <c r="H46" s="20">
        <v>750</v>
      </c>
      <c r="I46" s="20">
        <v>768.64499999999998</v>
      </c>
      <c r="J46" s="20">
        <v>769.13900000000001</v>
      </c>
      <c r="S46" s="20">
        <v>768.64499999999998</v>
      </c>
    </row>
    <row r="47" spans="1:32" s="20" customFormat="1" x14ac:dyDescent="0.25">
      <c r="A47" s="19" t="s">
        <v>58</v>
      </c>
      <c r="E47" s="20">
        <v>1288.9390000000001</v>
      </c>
      <c r="F47" s="20">
        <v>1311.7529999999999</v>
      </c>
      <c r="G47" s="20">
        <v>1331.433</v>
      </c>
      <c r="H47" s="20">
        <v>1355.316</v>
      </c>
      <c r="I47" s="20">
        <v>1387.0830000000001</v>
      </c>
      <c r="J47" s="20">
        <v>1406.97</v>
      </c>
      <c r="R47" s="20">
        <v>1288.9390000000001</v>
      </c>
      <c r="S47" s="20">
        <v>1387.0830000000001</v>
      </c>
    </row>
    <row r="48" spans="1:32" s="20" customFormat="1" x14ac:dyDescent="0.25">
      <c r="A48" s="19" t="s">
        <v>59</v>
      </c>
      <c r="E48" s="20">
        <v>3552.991</v>
      </c>
      <c r="F48" s="20">
        <v>3679.17</v>
      </c>
      <c r="G48" s="20">
        <v>3681.634</v>
      </c>
      <c r="H48" s="20">
        <v>3651.7779999999998</v>
      </c>
      <c r="I48" s="20">
        <v>3587.3739999999998</v>
      </c>
      <c r="J48" s="20">
        <v>3472.4870000000001</v>
      </c>
      <c r="R48" s="20">
        <v>3552.991</v>
      </c>
      <c r="S48" s="20">
        <v>3587.3739999999998</v>
      </c>
    </row>
    <row r="49" spans="1:19" s="20" customFormat="1" x14ac:dyDescent="0.25">
      <c r="A49" s="19" t="s">
        <v>60</v>
      </c>
      <c r="E49" s="20">
        <v>1036.9190000000001</v>
      </c>
      <c r="F49" s="20">
        <v>848.75699999999995</v>
      </c>
      <c r="G49" s="20">
        <v>1013.5940000000001</v>
      </c>
      <c r="H49" s="20">
        <v>1020.759</v>
      </c>
      <c r="I49" s="20">
        <v>971.89</v>
      </c>
      <c r="J49" s="20">
        <v>976.07600000000002</v>
      </c>
      <c r="R49" s="20">
        <v>1036.9190000000001</v>
      </c>
      <c r="S49" s="20">
        <v>971.89</v>
      </c>
    </row>
    <row r="50" spans="1:19" s="20" customFormat="1" x14ac:dyDescent="0.25">
      <c r="A50" s="19" t="s">
        <v>61</v>
      </c>
      <c r="E50" s="20">
        <v>8.9190000000000005</v>
      </c>
      <c r="F50" s="20">
        <v>10.999000000000001</v>
      </c>
      <c r="G50" s="20">
        <v>7.2610000000000001</v>
      </c>
      <c r="H50" s="20">
        <v>9.2370000000000001</v>
      </c>
      <c r="I50" s="20">
        <v>10.709</v>
      </c>
      <c r="J50" s="20">
        <v>17.190000000000001</v>
      </c>
      <c r="R50" s="20">
        <v>8.9190000000000005</v>
      </c>
      <c r="S50" s="20">
        <v>10.709</v>
      </c>
    </row>
    <row r="51" spans="1:19" s="18" customFormat="1" x14ac:dyDescent="0.25">
      <c r="A51" s="17" t="s">
        <v>62</v>
      </c>
      <c r="E51" s="18">
        <f>SUM(E45:E50)</f>
        <v>5887.768</v>
      </c>
      <c r="F51" s="18">
        <f>SUM(F45:F50)</f>
        <v>6100.6789999999992</v>
      </c>
      <c r="G51" s="18">
        <f t="shared" ref="G51:M51" si="99">SUM(G45:G50)</f>
        <v>6033.9220000000005</v>
      </c>
      <c r="H51" s="18">
        <f t="shared" si="99"/>
        <v>6787.0899999999992</v>
      </c>
      <c r="I51" s="18">
        <f t="shared" si="99"/>
        <v>6725.701</v>
      </c>
      <c r="J51" s="18">
        <f t="shared" si="99"/>
        <v>6641.8619999999992</v>
      </c>
      <c r="K51" s="18">
        <f t="shared" si="99"/>
        <v>0</v>
      </c>
      <c r="L51" s="18">
        <f t="shared" si="99"/>
        <v>0</v>
      </c>
      <c r="M51" s="18">
        <f t="shared" si="99"/>
        <v>0</v>
      </c>
      <c r="R51" s="18">
        <f>SUM(R45:R50)</f>
        <v>5887.768</v>
      </c>
      <c r="S51" s="18">
        <f t="shared" ref="S51" si="100">SUM(S45:S50)</f>
        <v>6725.701</v>
      </c>
    </row>
    <row r="52" spans="1:19" s="20" customFormat="1" x14ac:dyDescent="0.25">
      <c r="A52" s="19" t="s">
        <v>63</v>
      </c>
      <c r="E52" s="20">
        <v>7009.3990000000003</v>
      </c>
      <c r="F52" s="20">
        <v>7028.7669999999998</v>
      </c>
      <c r="G52" s="20">
        <v>7295.2150000000001</v>
      </c>
      <c r="H52" s="20">
        <v>6440.8450000000003</v>
      </c>
      <c r="I52" s="20">
        <v>6231.5389999999998</v>
      </c>
      <c r="J52" s="20">
        <v>6222.3869999999997</v>
      </c>
      <c r="R52" s="20">
        <v>7009.3990000000003</v>
      </c>
      <c r="S52" s="20">
        <v>6231.5389999999998</v>
      </c>
    </row>
    <row r="53" spans="1:19" s="20" customFormat="1" x14ac:dyDescent="0.25">
      <c r="A53" s="19" t="s">
        <v>64</v>
      </c>
      <c r="E53" s="20">
        <v>9362.7610000000004</v>
      </c>
      <c r="F53" s="20">
        <v>9399.8330000000005</v>
      </c>
      <c r="G53" s="20">
        <v>9409.1929999999993</v>
      </c>
      <c r="H53" s="20">
        <v>9540.5730000000003</v>
      </c>
      <c r="I53" s="20">
        <v>9703.4989999999998</v>
      </c>
      <c r="J53" s="20">
        <v>9723.3140000000003</v>
      </c>
      <c r="R53" s="20">
        <v>9362.7610000000004</v>
      </c>
      <c r="S53" s="20">
        <v>9703.4989999999998</v>
      </c>
    </row>
    <row r="54" spans="1:19" s="20" customFormat="1" x14ac:dyDescent="0.25">
      <c r="A54" s="19" t="s">
        <v>65</v>
      </c>
      <c r="E54" s="20">
        <v>1060.9059999999999</v>
      </c>
      <c r="F54" s="20">
        <v>1111.434</v>
      </c>
      <c r="G54" s="20">
        <v>1119.114</v>
      </c>
      <c r="H54" s="20">
        <v>1152.125</v>
      </c>
      <c r="I54" s="20">
        <v>1133.7840000000001</v>
      </c>
      <c r="J54" s="20">
        <v>1157.6600000000001</v>
      </c>
      <c r="R54" s="20">
        <v>1060.9059999999999</v>
      </c>
      <c r="S54" s="20">
        <v>1133.7840000000001</v>
      </c>
    </row>
    <row r="55" spans="1:19" s="20" customFormat="1" x14ac:dyDescent="0.25">
      <c r="A55" s="19" t="s">
        <v>66</v>
      </c>
      <c r="E55" s="20">
        <v>220.761</v>
      </c>
      <c r="F55" s="20">
        <v>227.96899999999999</v>
      </c>
      <c r="G55" s="20">
        <v>240.40799999999999</v>
      </c>
      <c r="H55" s="20">
        <v>252.10900000000001</v>
      </c>
      <c r="I55" s="20">
        <v>251.94900000000001</v>
      </c>
      <c r="J55" s="20">
        <v>264.09699999999998</v>
      </c>
      <c r="R55" s="20">
        <v>220.761</v>
      </c>
      <c r="S55" s="20">
        <v>251.94900000000001</v>
      </c>
    </row>
    <row r="56" spans="1:19" s="18" customFormat="1" x14ac:dyDescent="0.25">
      <c r="A56" s="17" t="s">
        <v>67</v>
      </c>
      <c r="E56" s="18">
        <f t="shared" ref="E56:M56" si="101">SUM(E52:E55)+E51</f>
        <v>23541.594999999998</v>
      </c>
      <c r="F56" s="18">
        <f t="shared" si="101"/>
        <v>23868.682000000001</v>
      </c>
      <c r="G56" s="18">
        <f t="shared" si="101"/>
        <v>24097.851999999999</v>
      </c>
      <c r="H56" s="18">
        <f t="shared" si="101"/>
        <v>24172.742000000002</v>
      </c>
      <c r="I56" s="18">
        <f t="shared" si="101"/>
        <v>24046.472000000002</v>
      </c>
      <c r="J56" s="18">
        <f>SUM(J52:J55)+J51</f>
        <v>24009.32</v>
      </c>
      <c r="K56" s="18">
        <f t="shared" si="101"/>
        <v>0</v>
      </c>
      <c r="L56" s="18">
        <f t="shared" si="101"/>
        <v>0</v>
      </c>
      <c r="M56" s="18">
        <f t="shared" si="101"/>
        <v>0</v>
      </c>
      <c r="R56" s="18">
        <f t="shared" ref="R56" si="102">SUM(R52:R55)+R51</f>
        <v>23541.594999999998</v>
      </c>
      <c r="S56" s="18">
        <f t="shared" ref="S56" si="103">SUM(S52:S55)+S51</f>
        <v>24046.472000000002</v>
      </c>
    </row>
    <row r="57" spans="1:19" s="20" customFormat="1" x14ac:dyDescent="0.25">
      <c r="A57" s="19" t="s">
        <v>68</v>
      </c>
      <c r="E57" s="20">
        <v>5541.7719999999999</v>
      </c>
      <c r="F57" s="20">
        <v>5935.2510000000002</v>
      </c>
      <c r="G57" s="20">
        <v>6297.7049999999999</v>
      </c>
      <c r="H57" s="20">
        <v>6451.884</v>
      </c>
      <c r="I57" s="20">
        <v>6749.1189999999997</v>
      </c>
      <c r="J57" s="20">
        <v>7000.1790000000001</v>
      </c>
      <c r="R57" s="20">
        <v>5541.7719999999999</v>
      </c>
      <c r="S57" s="20">
        <v>6749.1189999999997</v>
      </c>
    </row>
    <row r="58" spans="1:19" s="18" customFormat="1" x14ac:dyDescent="0.25">
      <c r="A58" s="17" t="s">
        <v>69</v>
      </c>
      <c r="E58" s="18">
        <f t="shared" ref="E58:M58" si="104">E57+E56</f>
        <v>29083.366999999998</v>
      </c>
      <c r="F58" s="18">
        <f t="shared" si="104"/>
        <v>29803.933000000001</v>
      </c>
      <c r="G58" s="18">
        <f t="shared" si="104"/>
        <v>30395.557000000001</v>
      </c>
      <c r="H58" s="18">
        <f t="shared" si="104"/>
        <v>30624.626000000004</v>
      </c>
      <c r="I58" s="18">
        <f t="shared" si="104"/>
        <v>30795.591</v>
      </c>
      <c r="J58" s="18">
        <f>J57+J56</f>
        <v>31009.499</v>
      </c>
      <c r="K58" s="18">
        <f t="shared" si="104"/>
        <v>0</v>
      </c>
      <c r="L58" s="18">
        <f t="shared" si="104"/>
        <v>0</v>
      </c>
      <c r="M58" s="18">
        <f t="shared" si="104"/>
        <v>0</v>
      </c>
      <c r="R58" s="18">
        <f t="shared" ref="R58" si="105">R57+R56</f>
        <v>29083.366999999998</v>
      </c>
      <c r="S58" s="18">
        <f t="shared" ref="S58" si="106">S57+S56</f>
        <v>30795.591</v>
      </c>
    </row>
    <row r="60" spans="1:19" s="18" customFormat="1" x14ac:dyDescent="0.25">
      <c r="A60" s="17" t="s">
        <v>103</v>
      </c>
      <c r="F60" s="18">
        <f>F12</f>
        <v>514.38000000000011</v>
      </c>
      <c r="G60" s="18">
        <f>G12</f>
        <v>468.83500000000078</v>
      </c>
      <c r="H60" s="18">
        <f>H12</f>
        <v>276.24600000000021</v>
      </c>
      <c r="I60" s="18">
        <f>I12</f>
        <v>401.81299999999953</v>
      </c>
      <c r="J60" s="18">
        <f>J12</f>
        <v>363.31700000000029</v>
      </c>
      <c r="R60" s="18">
        <f>R12</f>
        <v>2415.9889999999996</v>
      </c>
      <c r="S60" s="18">
        <f>S12</f>
        <v>1661.2740000000008</v>
      </c>
    </row>
    <row r="61" spans="1:19" s="20" customFormat="1" x14ac:dyDescent="0.25">
      <c r="A61" s="19" t="s">
        <v>104</v>
      </c>
      <c r="F61" s="20">
        <v>201.90700000000001</v>
      </c>
      <c r="G61" s="20">
        <f>410.287-F61</f>
        <v>208.37999999999997</v>
      </c>
      <c r="H61" s="20">
        <f>625.817-F61-G61</f>
        <v>215.53</v>
      </c>
      <c r="I61" s="20">
        <f>848.793-F61-G61-H61</f>
        <v>222.97599999999997</v>
      </c>
      <c r="J61" s="20">
        <v>232.286</v>
      </c>
      <c r="S61" s="20">
        <f>SUM(F61:I61)</f>
        <v>848.79300000000001</v>
      </c>
    </row>
    <row r="62" spans="1:19" s="20" customFormat="1" x14ac:dyDescent="0.25">
      <c r="A62" s="19" t="s">
        <v>65</v>
      </c>
      <c r="F62" s="20">
        <v>50.442</v>
      </c>
      <c r="G62" s="20">
        <f>58.147-F62</f>
        <v>7.7049999999999983</v>
      </c>
      <c r="H62" s="20">
        <f>91.158-F62-G62</f>
        <v>33.011000000000003</v>
      </c>
      <c r="I62" s="20">
        <f>72.847-F62-G62-H62</f>
        <v>-18.311000000000007</v>
      </c>
      <c r="J62" s="20">
        <v>23.876000000000001</v>
      </c>
      <c r="S62" s="20">
        <f t="shared" ref="S62:S83" si="107">SUM(F62:I62)</f>
        <v>72.846999999999994</v>
      </c>
    </row>
    <row r="63" spans="1:19" s="20" customFormat="1" x14ac:dyDescent="0.25">
      <c r="A63" s="19" t="s">
        <v>105</v>
      </c>
      <c r="F63" s="20">
        <v>25.082999999999998</v>
      </c>
      <c r="G63" s="20">
        <f>33.893-F63</f>
        <v>8.8100000000000023</v>
      </c>
      <c r="H63" s="20">
        <f>40.704-F63-G63</f>
        <v>6.8109999999999999</v>
      </c>
      <c r="I63" s="20">
        <f>51.891-F63-G63-H63</f>
        <v>11.186999999999998</v>
      </c>
      <c r="J63" s="20">
        <v>21.846</v>
      </c>
      <c r="S63" s="20">
        <f t="shared" si="107"/>
        <v>51.890999999999998</v>
      </c>
    </row>
    <row r="64" spans="1:19" s="20" customFormat="1" x14ac:dyDescent="0.25">
      <c r="A64" s="19" t="s">
        <v>106</v>
      </c>
      <c r="F64" s="20">
        <v>28.63</v>
      </c>
      <c r="G64" s="20">
        <f>57.367-F64</f>
        <v>28.736999999999998</v>
      </c>
      <c r="H64" s="20">
        <f>79.001-F64-G64</f>
        <v>21.634000000000011</v>
      </c>
      <c r="I64" s="20">
        <f>88.982-F64-G64-H64</f>
        <v>9.9809999999999945</v>
      </c>
      <c r="J64" s="20">
        <v>15.052</v>
      </c>
      <c r="S64" s="20">
        <f t="shared" si="107"/>
        <v>88.981999999999999</v>
      </c>
    </row>
    <row r="65" spans="1:19" s="20" customFormat="1" x14ac:dyDescent="0.25">
      <c r="A65" s="19" t="s">
        <v>48</v>
      </c>
      <c r="F65" s="20">
        <v>-601.13800000000003</v>
      </c>
      <c r="G65" s="20">
        <f>-817.001-F65</f>
        <v>-215.86299999999994</v>
      </c>
      <c r="H65" s="20">
        <f>-661.611-F65-G65</f>
        <v>155.38999999999999</v>
      </c>
      <c r="I65" s="20">
        <f>-299.066-F65-G65-H65</f>
        <v>362.54499999999996</v>
      </c>
      <c r="J65" s="20">
        <v>49.561999999999998</v>
      </c>
      <c r="S65" s="20">
        <f t="shared" si="107"/>
        <v>-299.06600000000003</v>
      </c>
    </row>
    <row r="66" spans="1:19" s="20" customFormat="1" x14ac:dyDescent="0.25">
      <c r="A66" s="19" t="s">
        <v>50</v>
      </c>
      <c r="F66" s="20">
        <v>-56.866</v>
      </c>
      <c r="G66" s="20">
        <f>-78.358-F66</f>
        <v>-21.492000000000004</v>
      </c>
      <c r="H66" s="20">
        <f>-50.846-F66-G66</f>
        <v>27.512000000000008</v>
      </c>
      <c r="I66" s="20">
        <f>-63.576-F66-G66-H66</f>
        <v>-12.730000000000004</v>
      </c>
      <c r="J66" s="20">
        <v>-42.65</v>
      </c>
      <c r="S66" s="20">
        <f t="shared" si="107"/>
        <v>-63.576000000000001</v>
      </c>
    </row>
    <row r="67" spans="1:19" s="20" customFormat="1" x14ac:dyDescent="0.25">
      <c r="A67" s="19" t="s">
        <v>59</v>
      </c>
      <c r="F67" s="20">
        <v>116.363</v>
      </c>
      <c r="G67" s="20">
        <f>107.81-F67</f>
        <v>-8.5529999999999973</v>
      </c>
      <c r="H67" s="20">
        <f>108.757-F67-G67</f>
        <v>0.94700000000000273</v>
      </c>
      <c r="I67" s="20">
        <f>36.94-F67-G67-H67</f>
        <v>-71.817000000000007</v>
      </c>
      <c r="J67" s="20">
        <v>-95.686000000000007</v>
      </c>
      <c r="S67" s="20">
        <f t="shared" si="107"/>
        <v>36.94</v>
      </c>
    </row>
    <row r="68" spans="1:19" s="20" customFormat="1" x14ac:dyDescent="0.25">
      <c r="A68" s="19" t="s">
        <v>107</v>
      </c>
      <c r="F68" s="20">
        <v>-176.804</v>
      </c>
      <c r="G68" s="20">
        <f>-12.438-F68</f>
        <v>164.36600000000001</v>
      </c>
      <c r="H68" s="20">
        <f>3.802-F68-G68</f>
        <v>16.239999999999981</v>
      </c>
      <c r="I68" s="20">
        <f>-39.189-F68-G68-H68</f>
        <v>-42.990999999999985</v>
      </c>
      <c r="J68" s="20">
        <v>14.814</v>
      </c>
      <c r="S68" s="20">
        <f t="shared" si="107"/>
        <v>-39.188999999999993</v>
      </c>
    </row>
    <row r="69" spans="1:19" s="20" customFormat="1" x14ac:dyDescent="0.25">
      <c r="A69" s="19" t="s">
        <v>108</v>
      </c>
      <c r="F69" s="20">
        <v>86.992000000000004</v>
      </c>
      <c r="G69" s="20">
        <f>-17.613-F69</f>
        <v>-104.605</v>
      </c>
      <c r="H69" s="20">
        <f>-61.462-F69-G69</f>
        <v>-43.849000000000004</v>
      </c>
      <c r="I69" s="20">
        <f>25.303-F69-G69-H69</f>
        <v>86.765000000000001</v>
      </c>
      <c r="J69" s="20">
        <v>83.796999999999997</v>
      </c>
      <c r="S69" s="20">
        <f t="shared" si="107"/>
        <v>25.302999999999997</v>
      </c>
    </row>
    <row r="70" spans="1:19" s="20" customFormat="1" x14ac:dyDescent="0.25">
      <c r="A70" s="19" t="s">
        <v>109</v>
      </c>
      <c r="F70" s="20">
        <v>2.1259999999999999</v>
      </c>
      <c r="G70" s="20">
        <f>1.412-F70</f>
        <v>-0.71399999999999997</v>
      </c>
      <c r="H70" s="20">
        <f>7.238-F70-G70</f>
        <v>5.8260000000000005</v>
      </c>
      <c r="I70" s="20">
        <f>7.599-F70-G70-H70</f>
        <v>0.36100000000000065</v>
      </c>
      <c r="J70" s="20">
        <v>-2.4079999999999999</v>
      </c>
      <c r="S70" s="20">
        <f t="shared" si="107"/>
        <v>7.5990000000000011</v>
      </c>
    </row>
    <row r="71" spans="1:19" s="18" customFormat="1" x14ac:dyDescent="0.25">
      <c r="A71" s="17" t="s">
        <v>110</v>
      </c>
      <c r="F71" s="18">
        <f>SUM(F60:F70)</f>
        <v>191.11500000000009</v>
      </c>
      <c r="G71" s="18">
        <f>SUM(G60:G70)</f>
        <v>535.60600000000068</v>
      </c>
      <c r="H71" s="18">
        <f>SUM(H60:H70)</f>
        <v>715.29800000000023</v>
      </c>
      <c r="I71" s="18">
        <f>SUM(I60:I70)</f>
        <v>949.77899999999943</v>
      </c>
      <c r="J71" s="18">
        <f>SUM(J60:J70)</f>
        <v>663.80600000000027</v>
      </c>
      <c r="S71" s="18">
        <f>SUM(F71:I71)</f>
        <v>2391.7980000000007</v>
      </c>
    </row>
    <row r="72" spans="1:19" s="20" customFormat="1" x14ac:dyDescent="0.25">
      <c r="A72" s="19" t="s">
        <v>111</v>
      </c>
      <c r="F72" s="20">
        <v>-363.14100000000002</v>
      </c>
      <c r="G72" s="20">
        <f>-767.935-F72</f>
        <v>-404.79399999999993</v>
      </c>
      <c r="H72" s="20">
        <f>-1240.507-F72-G72</f>
        <v>-472.57200000000006</v>
      </c>
      <c r="I72" s="20">
        <f>-1700.222-F72-G72-H72</f>
        <v>-459.71499999999997</v>
      </c>
      <c r="J72" s="20">
        <v>-341.97500000000002</v>
      </c>
      <c r="S72" s="20">
        <f t="shared" si="107"/>
        <v>-1700.222</v>
      </c>
    </row>
    <row r="73" spans="1:19" s="20" customFormat="1" x14ac:dyDescent="0.25">
      <c r="A73" s="19" t="s">
        <v>112</v>
      </c>
      <c r="F73" s="20">
        <v>1.5389999999999999</v>
      </c>
      <c r="G73" s="20">
        <f>3.234-F73</f>
        <v>1.6950000000000001</v>
      </c>
      <c r="H73" s="20">
        <f>4.963-F73-G73</f>
        <v>1.7290000000000003</v>
      </c>
      <c r="I73" s="20">
        <f>6.199-F73-G73-H73</f>
        <v>1.2359999999999995</v>
      </c>
      <c r="J73" s="20">
        <v>0.81399999999999995</v>
      </c>
      <c r="S73" s="20">
        <f t="shared" si="107"/>
        <v>6.1989999999999998</v>
      </c>
    </row>
    <row r="74" spans="1:19" s="18" customFormat="1" x14ac:dyDescent="0.25">
      <c r="A74" s="17" t="s">
        <v>113</v>
      </c>
      <c r="F74" s="18">
        <f>SUM(F72:F73)</f>
        <v>-361.60200000000003</v>
      </c>
      <c r="G74" s="18">
        <f>SUM(G72:G73)</f>
        <v>-403.09899999999993</v>
      </c>
      <c r="H74" s="18">
        <f>SUM(H72:H73)</f>
        <v>-470.84300000000007</v>
      </c>
      <c r="I74" s="18">
        <f>SUM(I72:I73)</f>
        <v>-458.47899999999998</v>
      </c>
      <c r="J74" s="18">
        <f>SUM(J72:J73)</f>
        <v>-341.161</v>
      </c>
      <c r="S74" s="18">
        <f>SUM(F74:I74)</f>
        <v>-1694.0230000000001</v>
      </c>
    </row>
    <row r="75" spans="1:19" s="20" customFormat="1" outlineLevel="1" x14ac:dyDescent="0.25">
      <c r="A75" s="19" t="s">
        <v>128</v>
      </c>
      <c r="G75" s="20">
        <v>1498.26</v>
      </c>
      <c r="H75" s="20">
        <f>1498.26-F75-G75</f>
        <v>0</v>
      </c>
      <c r="I75" s="20">
        <f>1498.26-F75-G75-H75</f>
        <v>0</v>
      </c>
      <c r="S75" s="20">
        <f t="shared" si="107"/>
        <v>1498.26</v>
      </c>
    </row>
    <row r="76" spans="1:19" s="20" customFormat="1" x14ac:dyDescent="0.25">
      <c r="A76" s="19" t="s">
        <v>114</v>
      </c>
      <c r="F76" s="20">
        <v>-4.5049999999999999</v>
      </c>
      <c r="G76" s="20">
        <f>-8.843-F76</f>
        <v>-4.3380000000000001</v>
      </c>
      <c r="H76" s="20">
        <f>-14.362-F76-G76</f>
        <v>-5.5189999999999992</v>
      </c>
      <c r="I76" s="20">
        <f>-19.723-F76-G76-H76</f>
        <v>-5.3609999999999998</v>
      </c>
      <c r="J76" s="20">
        <v>-5.2050000000000001</v>
      </c>
      <c r="S76" s="20">
        <f t="shared" si="107"/>
        <v>-19.722999999999999</v>
      </c>
    </row>
    <row r="77" spans="1:19" s="20" customFormat="1" outlineLevel="1" x14ac:dyDescent="0.25">
      <c r="A77" s="19" t="s">
        <v>115</v>
      </c>
      <c r="F77" s="20">
        <v>3.0680000000000001</v>
      </c>
      <c r="G77" s="20">
        <f>-1205.4-F77</f>
        <v>-1208.4680000000001</v>
      </c>
      <c r="H77" s="20">
        <f>-1303.8-F77-G77</f>
        <v>-98.399999999999864</v>
      </c>
      <c r="I77" s="20">
        <f>-1501.9-F77-G77-H77</f>
        <v>-198.10000000000014</v>
      </c>
      <c r="S77" s="20">
        <f t="shared" si="107"/>
        <v>-1501.9</v>
      </c>
    </row>
    <row r="78" spans="1:19" s="20" customFormat="1" outlineLevel="1" x14ac:dyDescent="0.25">
      <c r="A78" s="19" t="s">
        <v>116</v>
      </c>
      <c r="F78" s="20">
        <v>500</v>
      </c>
      <c r="G78" s="20">
        <f>500-F78</f>
        <v>0</v>
      </c>
      <c r="H78" s="20">
        <f>500-F78-G78</f>
        <v>0</v>
      </c>
      <c r="I78" s="20">
        <f>500-F78-G78-H78</f>
        <v>0</v>
      </c>
      <c r="S78" s="20">
        <f t="shared" si="107"/>
        <v>500</v>
      </c>
    </row>
    <row r="79" spans="1:19" s="20" customFormat="1" outlineLevel="1" x14ac:dyDescent="0.25">
      <c r="A79" s="19" t="s">
        <v>117</v>
      </c>
      <c r="F79" s="20">
        <v>-250</v>
      </c>
      <c r="G79" s="20">
        <f>-500-F79</f>
        <v>-250</v>
      </c>
      <c r="H79" s="20">
        <f>-500-F79-G79</f>
        <v>0</v>
      </c>
      <c r="I79" s="20">
        <f>-500-F79-G79-H79</f>
        <v>0</v>
      </c>
      <c r="S79" s="20">
        <f t="shared" si="107"/>
        <v>-500</v>
      </c>
    </row>
    <row r="80" spans="1:19" s="20" customFormat="1" outlineLevel="1" x14ac:dyDescent="0.25">
      <c r="A80" s="19" t="s">
        <v>129</v>
      </c>
      <c r="G80" s="20">
        <f>-12.448-F80</f>
        <v>-12.448</v>
      </c>
      <c r="H80" s="20">
        <f>-12.438-F80-G80</f>
        <v>9.9999999999997868E-3</v>
      </c>
      <c r="I80" s="20">
        <f>-12.438-F80-G80-H80</f>
        <v>0</v>
      </c>
      <c r="S80" s="20">
        <f t="shared" si="107"/>
        <v>-12.438000000000001</v>
      </c>
    </row>
    <row r="81" spans="1:19" s="20" customFormat="1" x14ac:dyDescent="0.25">
      <c r="A81" s="19" t="s">
        <v>118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S81" s="20">
        <f t="shared" si="107"/>
        <v>0</v>
      </c>
    </row>
    <row r="82" spans="1:19" s="20" customFormat="1" x14ac:dyDescent="0.25">
      <c r="A82" s="19" t="s">
        <v>119</v>
      </c>
      <c r="F82" s="20">
        <v>-129.40100000000001</v>
      </c>
      <c r="G82" s="20">
        <f>-258.885-F82</f>
        <v>-129.48399999999998</v>
      </c>
      <c r="H82" s="20">
        <f>-388.381-F82-G82</f>
        <v>-129.49599999999998</v>
      </c>
      <c r="I82" s="20">
        <f>-517.979-F82-G82-H82</f>
        <v>-129.59800000000007</v>
      </c>
      <c r="J82" s="20">
        <v>-129.73599999999999</v>
      </c>
      <c r="S82" s="20">
        <f t="shared" si="107"/>
        <v>-517.97900000000004</v>
      </c>
    </row>
    <row r="83" spans="1:19" s="20" customFormat="1" x14ac:dyDescent="0.25">
      <c r="A83" s="19" t="s">
        <v>120</v>
      </c>
      <c r="F83" s="20">
        <v>-17.187000000000001</v>
      </c>
      <c r="G83" s="20">
        <f>-3.262-F83</f>
        <v>13.925000000000001</v>
      </c>
      <c r="H83" s="20">
        <f>-1.883-F83-G83</f>
        <v>1.3790000000000013</v>
      </c>
      <c r="I83" s="20">
        <f>11.712-F83-G83-H83</f>
        <v>13.594999999999999</v>
      </c>
      <c r="J83" s="20">
        <v>-4.2869999999999999</v>
      </c>
      <c r="S83" s="20">
        <f t="shared" si="107"/>
        <v>11.712</v>
      </c>
    </row>
    <row r="84" spans="1:19" s="18" customFormat="1" x14ac:dyDescent="0.25">
      <c r="A84" s="17" t="s">
        <v>121</v>
      </c>
      <c r="F84" s="18">
        <f>SUM(F76:F83)</f>
        <v>101.97499999999998</v>
      </c>
      <c r="G84" s="18">
        <f>SUM(G75:G83)</f>
        <v>-92.55300000000004</v>
      </c>
      <c r="H84" s="18">
        <f t="shared" ref="H84:J84" si="108">SUM(H75:H83)</f>
        <v>-232.02599999999987</v>
      </c>
      <c r="I84" s="18">
        <f t="shared" si="108"/>
        <v>-319.46400000000017</v>
      </c>
      <c r="J84" s="18">
        <f t="shared" si="108"/>
        <v>-139.22800000000001</v>
      </c>
      <c r="S84" s="18">
        <f>SUM(F84:I84)</f>
        <v>-542.0680000000001</v>
      </c>
    </row>
    <row r="85" spans="1:19" s="20" customFormat="1" x14ac:dyDescent="0.25">
      <c r="A85" s="19" t="s">
        <v>122</v>
      </c>
      <c r="F85" s="20">
        <v>-68.512</v>
      </c>
      <c r="G85" s="20">
        <v>-28.558</v>
      </c>
      <c r="H85" s="20">
        <f>-16.129-F85-G85</f>
        <v>80.941000000000003</v>
      </c>
      <c r="I85" s="20">
        <f>155.707-F85-G85-H85</f>
        <v>171.83599999999998</v>
      </c>
      <c r="J85" s="20">
        <v>183.417</v>
      </c>
    </row>
    <row r="86" spans="1:19" s="20" customFormat="1" x14ac:dyDescent="0.25">
      <c r="A86" s="19" t="s">
        <v>123</v>
      </c>
      <c r="F86" s="20">
        <v>381.57600000000002</v>
      </c>
      <c r="G86" s="20">
        <v>381.57600000000002</v>
      </c>
      <c r="H86" s="20">
        <f>381.576-F86-G86</f>
        <v>-381.57600000000002</v>
      </c>
      <c r="I86" s="20">
        <f>381.576-F86-G86-H86</f>
        <v>0</v>
      </c>
      <c r="J86" s="20">
        <v>537.28300000000002</v>
      </c>
    </row>
    <row r="87" spans="1:19" s="18" customFormat="1" x14ac:dyDescent="0.25">
      <c r="A87" s="17" t="s">
        <v>124</v>
      </c>
      <c r="F87" s="18">
        <f>SUM(F85:F86)</f>
        <v>313.06400000000002</v>
      </c>
      <c r="G87" s="18">
        <f>SUM(G85:G86)</f>
        <v>353.01800000000003</v>
      </c>
      <c r="H87" s="18">
        <f t="shared" ref="H87:J87" si="109">SUM(H85:H86)</f>
        <v>-300.63499999999999</v>
      </c>
      <c r="I87" s="18">
        <f t="shared" si="109"/>
        <v>171.83599999999998</v>
      </c>
      <c r="J87" s="18">
        <f t="shared" si="109"/>
        <v>720.7</v>
      </c>
    </row>
    <row r="88" spans="1:19" s="18" customFormat="1" x14ac:dyDescent="0.25">
      <c r="A88" s="17"/>
    </row>
    <row r="89" spans="1:19" s="49" customFormat="1" x14ac:dyDescent="0.25">
      <c r="A89" s="47" t="s">
        <v>140</v>
      </c>
    </row>
    <row r="90" spans="1:19" s="49" customFormat="1" x14ac:dyDescent="0.25">
      <c r="A90" s="47" t="s">
        <v>141</v>
      </c>
      <c r="I90" s="49">
        <v>352.47300000000001</v>
      </c>
    </row>
    <row r="91" spans="1:19" s="49" customFormat="1" x14ac:dyDescent="0.25">
      <c r="A91" s="47" t="s">
        <v>108</v>
      </c>
      <c r="I91" s="49">
        <v>359.57799999999997</v>
      </c>
    </row>
    <row r="92" spans="1:19" s="20" customFormat="1" x14ac:dyDescent="0.25">
      <c r="A92" s="19"/>
    </row>
    <row r="93" spans="1:19" s="20" customFormat="1" x14ac:dyDescent="0.25">
      <c r="A93" s="47" t="s">
        <v>125</v>
      </c>
    </row>
    <row r="94" spans="1:19" s="20" customFormat="1" x14ac:dyDescent="0.25">
      <c r="A94" s="19" t="s">
        <v>126</v>
      </c>
      <c r="F94" s="20">
        <v>386.05500000000001</v>
      </c>
      <c r="G94" s="20">
        <v>745.78599999999994</v>
      </c>
      <c r="H94" s="20">
        <v>1248.662</v>
      </c>
      <c r="I94" s="20">
        <v>1804.934</v>
      </c>
      <c r="J94" s="20">
        <v>404.71600000000001</v>
      </c>
    </row>
    <row r="95" spans="1:19" s="20" customFormat="1" x14ac:dyDescent="0.25">
      <c r="A95" s="19" t="s">
        <v>127</v>
      </c>
      <c r="F95" s="20">
        <v>160.51</v>
      </c>
      <c r="G95" s="20">
        <v>171.52699999999999</v>
      </c>
      <c r="H95" s="20">
        <v>140.72399999999999</v>
      </c>
      <c r="I95" s="20">
        <v>148.137</v>
      </c>
      <c r="J95" s="20">
        <v>128.93600000000001</v>
      </c>
    </row>
    <row r="97" spans="1:19" x14ac:dyDescent="0.25">
      <c r="A97" s="7" t="s">
        <v>142</v>
      </c>
      <c r="E97" s="20">
        <f t="shared" ref="E97:I97" si="110">E57+E34+E33</f>
        <v>23584.447000000004</v>
      </c>
      <c r="F97" s="20">
        <f t="shared" si="110"/>
        <v>23988.668000000001</v>
      </c>
      <c r="G97" s="20">
        <f t="shared" si="110"/>
        <v>24686.564000000002</v>
      </c>
      <c r="H97" s="20">
        <f t="shared" si="110"/>
        <v>24904.065000000002</v>
      </c>
      <c r="I97" s="20">
        <f t="shared" si="110"/>
        <v>25377.167999999998</v>
      </c>
      <c r="J97" s="20">
        <f>J57+J34+J33</f>
        <v>25842.688999999998</v>
      </c>
      <c r="R97" s="20">
        <f>R57+R34+R33</f>
        <v>23584.447000000004</v>
      </c>
      <c r="S97" s="20">
        <f>S57+S34+S33</f>
        <v>25377.167999999998</v>
      </c>
    </row>
    <row r="98" spans="1:19" x14ac:dyDescent="0.25">
      <c r="A98" s="7" t="s">
        <v>143</v>
      </c>
      <c r="E98" s="50">
        <f>E7*(1-E23)</f>
        <v>716.58804096435415</v>
      </c>
      <c r="F98" s="50">
        <f>F7*(1-F23)</f>
        <v>579.31126758079733</v>
      </c>
      <c r="G98" s="50">
        <f>G7*(1-G23)</f>
        <v>533.87058094302984</v>
      </c>
      <c r="H98" s="50">
        <f>H7*(1-H23)</f>
        <v>340.97543631988862</v>
      </c>
      <c r="I98" s="50">
        <f>I7*(1-I23)</f>
        <v>463.47336156740647</v>
      </c>
      <c r="J98" s="50">
        <f>J7*(1-J23)</f>
        <v>418.87484555313733</v>
      </c>
      <c r="R98" s="50">
        <f>R7*(1-R23)</f>
        <v>2580.0888466386914</v>
      </c>
      <c r="S98" s="50">
        <f>S7*(1-S23)</f>
        <v>1917.4041781177718</v>
      </c>
    </row>
    <row r="99" spans="1:19" x14ac:dyDescent="0.25">
      <c r="A99" s="7" t="s">
        <v>144</v>
      </c>
      <c r="E99" s="20">
        <f t="shared" ref="E99" si="111">E44-E56</f>
        <v>5541.7720000000008</v>
      </c>
      <c r="F99" s="20">
        <f t="shared" ref="F99:I99" si="112">F44-F56</f>
        <v>5935.2509999999966</v>
      </c>
      <c r="G99" s="20">
        <f t="shared" si="112"/>
        <v>6297.7050000000017</v>
      </c>
      <c r="H99" s="20">
        <f t="shared" si="112"/>
        <v>6451.8839999999946</v>
      </c>
      <c r="I99" s="20">
        <f t="shared" si="112"/>
        <v>6749.1189999999988</v>
      </c>
      <c r="J99" s="20">
        <f>J44-J56</f>
        <v>7000.1789999999964</v>
      </c>
      <c r="R99" s="20">
        <f>R44-R56</f>
        <v>5541.7720000000008</v>
      </c>
      <c r="S99" s="20">
        <f>S44-S56</f>
        <v>6749.1189999999988</v>
      </c>
    </row>
    <row r="100" spans="1:19" x14ac:dyDescent="0.25">
      <c r="A100" s="7" t="s">
        <v>145</v>
      </c>
      <c r="E100" s="20">
        <f t="shared" ref="E100" si="113">E44-E42-E56</f>
        <v>3.4830000000001746</v>
      </c>
      <c r="F100" s="20">
        <f t="shared" ref="F100:I100" si="114">F44-F42-F56</f>
        <v>396.9619999999959</v>
      </c>
      <c r="G100" s="20">
        <f t="shared" si="114"/>
        <v>759.41600000000108</v>
      </c>
      <c r="H100" s="20">
        <f t="shared" si="114"/>
        <v>913.59499999999389</v>
      </c>
      <c r="I100" s="20">
        <f t="shared" si="114"/>
        <v>1210.8299999999981</v>
      </c>
      <c r="J100" s="20">
        <f>J44-J42-J56</f>
        <v>1461.8899999999958</v>
      </c>
      <c r="R100" s="20">
        <f>R44-R42-R56</f>
        <v>3.4830000000001746</v>
      </c>
      <c r="S100" s="20">
        <f>S44-S42-S56</f>
        <v>1210.8299999999981</v>
      </c>
    </row>
  </sheetData>
  <phoneticPr fontId="3" type="noConversion"/>
  <hyperlinks>
    <hyperlink ref="A1" location="Main!A1" display="Main" xr:uid="{F11DAF57-F530-4668-9C6A-3624BEB892EC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cp:lastPrinted>2024-06-07T19:24:47Z</cp:lastPrinted>
  <dcterms:created xsi:type="dcterms:W3CDTF">2024-04-17T23:07:06Z</dcterms:created>
  <dcterms:modified xsi:type="dcterms:W3CDTF">2024-06-07T19:28:15Z</dcterms:modified>
</cp:coreProperties>
</file>